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899" activeTab="10"/>
  </bookViews>
  <sheets>
    <sheet name="เริ่มคำสั่ง if" sheetId="1" r:id="rId1"/>
    <sheet name="เริ่มคำสั่งif2" sheetId="2" r:id="rId2"/>
    <sheet name="ตัดเกรด" sheetId="3" r:id="rId3"/>
    <sheet name="ร้านหนังสือif_vlookup" sheetId="4" r:id="rId4"/>
    <sheet name="อัตราภาษี" sheetId="5" r:id="rId5"/>
    <sheet name="การคำนวณค่าไฟฟ้า" sheetId="6" r:id="rId6"/>
    <sheet name="คะแนน Hlookup" sheetId="7" r:id="rId7"/>
    <sheet name="ค่าคอมมิสชั้น" sheetId="8" r:id="rId8"/>
    <sheet name="เกรด hlookup" sheetId="9" r:id="rId9"/>
    <sheet name="ร้านหนังสือ Hlookup" sheetId="10" r:id="rId10"/>
    <sheet name="Sheet1" sheetId="11" r:id="rId1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<sst xmlns="http://schemas.openxmlformats.org/spreadsheetml/2006/main" count="435" uniqueCount="228">
  <si>
    <t>ลำดับ</t>
  </si>
  <si>
    <t>ชื่อ-สกุล</t>
  </si>
  <si>
    <t>ปลายภาค</t>
  </si>
  <si>
    <t>เกรด</t>
  </si>
  <si>
    <t>นางสาวมะริษา  กลับโบ</t>
  </si>
  <si>
    <t>นางสาวยานี   ประเสริฐ</t>
  </si>
  <si>
    <t>นายดำ  ใจดี</t>
  </si>
  <si>
    <t>นางสาวสกาวเดือน  รัศมิทัต</t>
  </si>
  <si>
    <t>นางสาวศศิธร  ปลอดหนู</t>
  </si>
  <si>
    <t>นางสาววันทนีย์  คงจิต</t>
  </si>
  <si>
    <t>นางสาวผุสดี  ยาดำ</t>
  </si>
  <si>
    <t>นางสาวดวงพร  ซั่วต๋อ</t>
  </si>
  <si>
    <t>นายพิสน  ชูทอง</t>
  </si>
  <si>
    <t>นายบรมสิทธิ์  ทองเรือง</t>
  </si>
  <si>
    <t>นายธีรยุทธ์ ทองปรอน</t>
  </si>
  <si>
    <t>นางสาวกัลยา  คงวาริน</t>
  </si>
  <si>
    <t>นางสาวสุนิสา  สวัสดี</t>
  </si>
  <si>
    <t>นางสาวจิตรา  ชัยพร</t>
  </si>
  <si>
    <t>นางสาวปิยวัน  นันทเสน</t>
  </si>
  <si>
    <t>รวม</t>
  </si>
  <si>
    <t>A</t>
  </si>
  <si>
    <t>B+</t>
  </si>
  <si>
    <t>B</t>
  </si>
  <si>
    <t>C+</t>
  </si>
  <si>
    <t>C</t>
  </si>
  <si>
    <t>D+</t>
  </si>
  <si>
    <t>D</t>
  </si>
  <si>
    <t>E</t>
  </si>
  <si>
    <t>ก</t>
  </si>
  <si>
    <t>ข+</t>
  </si>
  <si>
    <t>ข</t>
  </si>
  <si>
    <t>ค+</t>
  </si>
  <si>
    <t>ค</t>
  </si>
  <si>
    <t>ง+</t>
  </si>
  <si>
    <t>ง</t>
  </si>
  <si>
    <t>จ</t>
  </si>
  <si>
    <t>ส่วนลด</t>
  </si>
  <si>
    <t>ชื่อหนังสือ</t>
  </si>
  <si>
    <t>ราคาเล่ม</t>
  </si>
  <si>
    <t>คอมพิวเตอร์</t>
  </si>
  <si>
    <t>รักต้นไม้</t>
  </si>
  <si>
    <t>ธรรมชาติ</t>
  </si>
  <si>
    <t>สัตว์เลี้ยง</t>
  </si>
  <si>
    <t>อนามัย</t>
  </si>
  <si>
    <t>แม่และเด็ก</t>
  </si>
  <si>
    <t>อาหารการกิน</t>
  </si>
  <si>
    <t>ครอบครัว</t>
  </si>
  <si>
    <t>โดราเอมอน</t>
  </si>
  <si>
    <t>ชินจัง</t>
  </si>
  <si>
    <t>ภาษี 7%</t>
  </si>
  <si>
    <t>ราคารวมภาษี</t>
  </si>
  <si>
    <t>การคำนวณค่าไฟฟ้า</t>
  </si>
  <si>
    <t>จำนวณยูนิตที่ใช้</t>
  </si>
  <si>
    <t>ครั้งก่อน</t>
  </si>
  <si>
    <t>ครั้งหลัง</t>
  </si>
  <si>
    <t>ยูนิต</t>
  </si>
  <si>
    <t>ค่าไฟที่ต้องจ่าย</t>
  </si>
  <si>
    <t>รายได้ต่อปี</t>
  </si>
  <si>
    <t>ภาษี%</t>
  </si>
  <si>
    <t>เงินได้สุทธิ</t>
  </si>
  <si>
    <t>เงินเดือน</t>
  </si>
  <si>
    <t>รวมรายได้</t>
  </si>
  <si>
    <t>สังกัดภาค</t>
  </si>
  <si>
    <t>ใต้</t>
  </si>
  <si>
    <t>เหนือ</t>
  </si>
  <si>
    <t>กลาง</t>
  </si>
  <si>
    <t>อีสาน</t>
  </si>
  <si>
    <t>เพศ</t>
  </si>
  <si>
    <t>ชาย</t>
  </si>
  <si>
    <t>หญิง</t>
  </si>
  <si>
    <t>การตัดเกรดนักศึกษากลุ่มเรียน ....</t>
  </si>
  <si>
    <t>ระหว่างภาค</t>
  </si>
  <si>
    <t>=if(เงื่อนไข,จริง,เท็จ)</t>
  </si>
  <si>
    <t>จริง,เท็จ = การคำนวณ, พิมพ์ข้อความ</t>
  </si>
  <si>
    <t>ตัวอย่าง</t>
  </si>
  <si>
    <t>=if(เงื่อนไข,จริง,if(เงื่อนไข,จริง,เท็จ)</t>
  </si>
  <si>
    <t>คะแนนรวมสูงสุด</t>
  </si>
  <si>
    <t>คะแนนรวมต่ำสุด</t>
  </si>
  <si>
    <t>คะแนนเฉลี่ย</t>
  </si>
  <si>
    <t>80-100</t>
  </si>
  <si>
    <t>75-79</t>
  </si>
  <si>
    <t>70-74</t>
  </si>
  <si>
    <t>65-69</t>
  </si>
  <si>
    <t>60-64</t>
  </si>
  <si>
    <t>55-59</t>
  </si>
  <si>
    <t>50-54</t>
  </si>
  <si>
    <t>=if(g4&gt;=80,"A",if(g4&gt;=75,"B+")</t>
  </si>
  <si>
    <t>มนก.</t>
  </si>
  <si>
    <t>อัตราภาษี%</t>
  </si>
  <si>
    <t>การคำนวณอัตราภาษีต่อปี</t>
  </si>
  <si>
    <t>ยอดขาย</t>
  </si>
  <si>
    <t>ค่าคอมมิชชั่น</t>
  </si>
  <si>
    <t>แย่มาก</t>
  </si>
  <si>
    <t>แย่</t>
  </si>
  <si>
    <t>อ่อน</t>
  </si>
  <si>
    <t>พอใช้</t>
  </si>
  <si>
    <t>ดีมาก</t>
  </si>
  <si>
    <t>ดี</t>
  </si>
  <si>
    <t>ปานกลาง</t>
  </si>
  <si>
    <t>เกรดไทยๆ</t>
  </si>
  <si>
    <t>การคิดคำนวณส่วนลดหนังสือ</t>
  </si>
  <si>
    <t>อัตราส่วนลด
 Vlookup</t>
  </si>
  <si>
    <t>ราคาสุทธิ</t>
  </si>
  <si>
    <t>ร้านหนังสือแห่งต้องการคำนวณหาอัตราส่วนลดหนังสือ โดยมีการคิดอัตราส่วนลดดังนี้</t>
  </si>
  <si>
    <t>หนังสือ ราคา 100 บาท แต่ไม่เกิน 500  อัตราส่วน 3%</t>
  </si>
  <si>
    <t>หนังสือ ราคา 500 บาท แต่ไม่เกิน 1000  อัตราส่วน 15%</t>
  </si>
  <si>
    <t>จงคำนวณหาราคาหนังสือสุทธิเมื่อหักภาษีและส่วนลดต่าง ๆ</t>
  </si>
  <si>
    <t>หนังสือ ราคา 1000 บาทขึ้นไปคิด อัตราส่วน 17%</t>
  </si>
  <si>
    <t>อัตรา
ส่วนลด%(IF)</t>
  </si>
  <si>
    <t>รูปแบบคำสั่ง IF</t>
  </si>
  <si>
    <t>=IF(F28 &gt; G28, F28+G28, F28-G28)</t>
  </si>
  <si>
    <t>การใช้คำสั่ง IF ซ้อน IF</t>
  </si>
  <si>
    <t>การใช้ FUNCTION VLOOKUP</t>
  </si>
  <si>
    <t>ฟังก์ชันการอ้างอิงตารางเพื่อใช้คำนวณเงื่อนไขหลาย ๆ เงื่อนไข</t>
  </si>
  <si>
    <t>รูปแบบ</t>
  </si>
  <si>
    <t>VLOOKUP(LOOKUP_VALUE,TABLE_ARRAY,COLUMN_INDEX,rang_lookup)</t>
  </si>
  <si>
    <t>LOOKUP_VALUE</t>
  </si>
  <si>
    <t>TABLE_ARRAY</t>
  </si>
  <si>
    <t>COLUMN_INDEX</t>
  </si>
  <si>
    <t>rang_lookup</t>
  </si>
  <si>
    <t>ค่าที่ต้องการใช้อ้างอิงเช่น คะแนนรวม  เงินเดือน</t>
  </si>
  <si>
    <t>ตารางเงื่อนไข</t>
  </si>
  <si>
    <t>หมายเลขคอลัมน์ในตารางเงื่อนไขที่ต้องการจะแสดง</t>
  </si>
  <si>
    <t>ขอบเขตของเงื่อนไข TRUE,FALSE</t>
  </si>
  <si>
    <t xml:space="preserve">ต่ำกว่า 50 </t>
  </si>
  <si>
    <t>ค่อนข้างพอใช้</t>
  </si>
  <si>
    <t>VLOOKUP(G4:G18,O3:R10,3)</t>
  </si>
  <si>
    <t>VLOOKUP(G4:G18,$O$3:$R$10,3)</t>
  </si>
  <si>
    <t>เกรดบรรยาย 
VLOOKUP</t>
  </si>
  <si>
    <t>จงคำนวณอัตราภาษีของพนังงานบริษัทแห่งหนึ่งโดยให้คิดคำนวณอัตราภาษีที่ทุกคนต้องจ่าย โดยมีอัตราดังนี้</t>
  </si>
  <si>
    <t>รายได้น้อยกว่า 10,000</t>
  </si>
  <si>
    <t>10,001-50,000</t>
  </si>
  <si>
    <t>50,001-100,000</t>
  </si>
  <si>
    <t>มากกว่า 100,000</t>
  </si>
  <si>
    <t>อัตราภาษี Vookup</t>
  </si>
  <si>
    <t>รายได้ต่ำสุด</t>
  </si>
  <si>
    <t>รายได้สูงสุด</t>
  </si>
  <si>
    <t>รายได้เฉลี่ย</t>
  </si>
  <si>
    <t>ยูนิตละ IF</t>
  </si>
  <si>
    <t>ยูนิตละ Vlookup</t>
  </si>
  <si>
    <t>จงคิดอัตราค่าไฟฟ้า โดยมีเงื่อนไขดังนี้</t>
  </si>
  <si>
    <t>100 ยูนิตขึ้นไป จ่าย ยูนิตละ 15 บาท</t>
  </si>
  <si>
    <t>น้อย</t>
  </si>
  <si>
    <t>มากที่สุด</t>
  </si>
  <si>
    <t>มาก</t>
  </si>
  <si>
    <t>ครั้งที่2</t>
  </si>
  <si>
    <t>ครั้งที่1</t>
  </si>
  <si>
    <t>ครั้งที่3</t>
  </si>
  <si>
    <t>วิธีการเทียบเกรด</t>
  </si>
  <si>
    <t>หนังสือ ราคาไม่เกิน 100 บาท ไม่มีอัตราส่วนลด</t>
  </si>
  <si>
    <t>&gt;100000</t>
  </si>
  <si>
    <t>50001-100000</t>
  </si>
  <si>
    <t>10001-50000</t>
  </si>
  <si>
    <t>&lt;10000</t>
  </si>
  <si>
    <t>คะแนน</t>
  </si>
  <si>
    <t>ตัดเกรด</t>
  </si>
  <si>
    <t>เกรดไทย</t>
  </si>
  <si>
    <t>เกรดบรรยาย</t>
  </si>
  <si>
    <t>*</t>
  </si>
  <si>
    <t>**</t>
  </si>
  <si>
    <t>***</t>
  </si>
  <si>
    <t>****</t>
  </si>
  <si>
    <t>*****</t>
  </si>
  <si>
    <t>******</t>
  </si>
  <si>
    <t>*******</t>
  </si>
  <si>
    <t>********</t>
  </si>
  <si>
    <t>ระดับดาว</t>
  </si>
  <si>
    <t>=VLOOKUP(ค่าที่ต้องการอ้างอิง,ตารางอ้างอิง,หมายเลขตารางอ้างอิง)</t>
  </si>
  <si>
    <t>Hlookup</t>
  </si>
  <si>
    <t>Vlookup</t>
  </si>
  <si>
    <t>50 ยูนิต แต่ไม่เกิน 100 ยูนิต ๆ ละ 10 บาท</t>
  </si>
  <si>
    <t>น้อยกว่า 50 ยูนิต จ่ายยูนิตละ 5 บาท</t>
  </si>
  <si>
    <t>ผลการสอบ</t>
  </si>
  <si>
    <t>คะแนนฟรี</t>
  </si>
  <si>
    <t>เกณฑ์ การขึ้นเงินเดือน  ขึ้นเงินเดือน 10%ของเดือนพนักงานที่มีเงินต่ำกว่า 10000</t>
  </si>
  <si>
    <t>ระดับเงินเดือน ให้แสดงผลระดับเงิน พนักงานที่มีเงินเดือนต่ำกว่า 10000 ให้แสดงข้อความเงินน้อย ถ้าสูงกว่า 10000 เงินเดือนมาก</t>
  </si>
  <si>
    <t>เครื่องหมายเปรียเทียบ</t>
  </si>
  <si>
    <t>ค่าครองชีพ</t>
  </si>
  <si>
    <t>หักงานเลี้ยง</t>
  </si>
  <si>
    <t>ขึ้นเงินเดือน</t>
  </si>
  <si>
    <t>ระดับเงินเดือน</t>
  </si>
  <si>
    <t>&lt;</t>
  </si>
  <si>
    <t>น้อยกว่า</t>
  </si>
  <si>
    <t>&gt;</t>
  </si>
  <si>
    <t>มากกว่า</t>
  </si>
  <si>
    <t>&gt;=</t>
  </si>
  <si>
    <t>มากกว่าหรือเท่ากับ</t>
  </si>
  <si>
    <t>&lt;=</t>
  </si>
  <si>
    <t>น้อยกว่าหรือเท่ากับ</t>
  </si>
  <si>
    <t>&lt;&gt;</t>
  </si>
  <si>
    <t>ไม่เท่ากับ</t>
  </si>
  <si>
    <t>=</t>
  </si>
  <si>
    <t>เท่ากับ</t>
  </si>
  <si>
    <t>อัตรค่าคอมมิชชั่น 
Vlookup</t>
  </si>
  <si>
    <t>ชือ-สกุล</t>
  </si>
  <si>
    <t>เกรด vlookup</t>
  </si>
  <si>
    <t>เกรดHlookup</t>
  </si>
  <si>
    <t xml:space="preserve"> *******</t>
  </si>
  <si>
    <t>อัตราส่วนลด Hlookup</t>
  </si>
  <si>
    <t>ราคา หนังสือ 1-99   อัตราส่วนลด 10%</t>
  </si>
  <si>
    <t>ราคา หนังสือ 100-499   อัตราส่วนลด 15%</t>
  </si>
  <si>
    <t>ราคา หนังสือ 500-999   อัตราส่วนลด  20%</t>
  </si>
  <si>
    <t>ราคา หนังสือ 1000 ขึ้นไป  อัตราส่วนลด 30%</t>
  </si>
  <si>
    <t>แสดงดาว
ลักษณะการลด</t>
  </si>
  <si>
    <t>ราคา
รวมภาษี</t>
  </si>
  <si>
    <t>1-99</t>
  </si>
  <si>
    <t>100-499</t>
  </si>
  <si>
    <t>500-999</t>
  </si>
  <si>
    <t>1000-</t>
  </si>
  <si>
    <t>อัตรค่าคอมมิชชั่น 
Hlookup</t>
  </si>
  <si>
    <t>อัตรค่าคอมมิชชั่น 
IF</t>
  </si>
  <si>
    <t>ใบเสร็จขายสินค้า</t>
  </si>
  <si>
    <t>ร้าน จันทรา มินิมาร์ท</t>
  </si>
  <si>
    <t>รายการสินค้า</t>
  </si>
  <si>
    <t>ราคา</t>
  </si>
  <si>
    <t>จำนวน</t>
  </si>
  <si>
    <t>รวมเงิน</t>
  </si>
  <si>
    <t>สบู่</t>
  </si>
  <si>
    <t>ยาสีฟัน</t>
  </si>
  <si>
    <t>แชมพู</t>
  </si>
  <si>
    <t>ภาษี7%</t>
  </si>
  <si>
    <t>รวมเงินจ่าย</t>
  </si>
  <si>
    <t>รหัสสินค้า</t>
  </si>
  <si>
    <t>ลูกค้าจ่าย</t>
  </si>
  <si>
    <t>แสดงผลการจ่าย</t>
  </si>
  <si>
    <t>แสดงตัวหนังสือเลขเงิน</t>
  </si>
  <si>
    <t xml:space="preserve"> </t>
  </si>
  <si>
    <t>เงินทอน/เงินขาด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</si>
</sst>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;[Red]0"/>
    <numFmt numFmtId="192" formatCode="0.00;[Red]0.00"/>
    <numFmt numFmtId="193" formatCode="m/d/yy"/>
    <numFmt numFmtId="194" formatCode="000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d\ ดดดด\ bbbb"/>
    <numFmt numFmtId="199" formatCode="m/d/yy\ h:mm\ AM/PM"/>
    <numFmt numFmtId="200" formatCode="[$฿-41E]#,##0.00;\-[$฿-41E]#,##0.00"/>
    <numFmt numFmtId="201" formatCode="0.00_ ;[Red]\-0.00\ "/>
    <numFmt numFmtId="202" formatCode="_-* #,##0.0000_-;\-* #,##0.0000_-;_-* &quot;-&quot;??_-;_-@_-"/>
    <numFmt numFmtId="203" formatCode="_-* #,##0.00000_-;\-* #,##0.00000_-;_-* &quot;-&quot;??_-;_-@_-"/>
  </numFmts>
  <fonts count="70">
    <font>
      <sz val="14"/>
      <name val="Cordia New"/>
      <family val="0"/>
    </font>
    <font>
      <sz val="14"/>
      <color indexed="12"/>
      <name val="Cordia New"/>
      <family val="2"/>
    </font>
    <font>
      <b/>
      <sz val="14"/>
      <color indexed="12"/>
      <name val="BrowalliaUPC"/>
      <family val="2"/>
    </font>
    <font>
      <b/>
      <sz val="18"/>
      <name val="Cordia New"/>
      <family val="2"/>
    </font>
    <font>
      <b/>
      <sz val="24"/>
      <name val="Cordia New"/>
      <family val="2"/>
    </font>
    <font>
      <b/>
      <sz val="14"/>
      <name val="Cordia New"/>
      <family val="2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sz val="18"/>
      <name val="Cordia New"/>
      <family val="0"/>
    </font>
    <font>
      <b/>
      <sz val="14"/>
      <color indexed="9"/>
      <name val="Cordia New"/>
      <family val="2"/>
    </font>
    <font>
      <sz val="14"/>
      <color indexed="9"/>
      <name val="Cordia New"/>
      <family val="2"/>
    </font>
    <font>
      <sz val="18"/>
      <color indexed="9"/>
      <name val="Cordia New"/>
      <family val="2"/>
    </font>
    <font>
      <b/>
      <sz val="18"/>
      <color indexed="12"/>
      <name val="Cordia New"/>
      <family val="2"/>
    </font>
    <font>
      <b/>
      <sz val="18"/>
      <color indexed="10"/>
      <name val="Cordia New"/>
      <family val="2"/>
    </font>
    <font>
      <b/>
      <sz val="14"/>
      <color indexed="10"/>
      <name val="Cordia New"/>
      <family val="2"/>
    </font>
    <font>
      <sz val="8"/>
      <name val="Cordia New"/>
      <family val="0"/>
    </font>
    <font>
      <sz val="14"/>
      <color indexed="10"/>
      <name val="Cordia New"/>
      <family val="2"/>
    </font>
    <font>
      <sz val="14"/>
      <name val="Consolas"/>
      <family val="3"/>
    </font>
    <font>
      <b/>
      <sz val="11"/>
      <name val="Consolas"/>
      <family val="3"/>
    </font>
    <font>
      <b/>
      <sz val="16"/>
      <name val="Cordia New"/>
      <family val="2"/>
    </font>
    <font>
      <b/>
      <sz val="20"/>
      <name val="Cordia New"/>
      <family val="2"/>
    </font>
    <font>
      <sz val="22"/>
      <name val="Cordia New"/>
      <family val="2"/>
    </font>
    <font>
      <b/>
      <sz val="22"/>
      <name val="Cordia New"/>
      <family val="2"/>
    </font>
    <font>
      <b/>
      <sz val="26"/>
      <name val="Cordia New"/>
      <family val="2"/>
    </font>
    <font>
      <b/>
      <sz val="28"/>
      <name val="Cordia New"/>
      <family val="2"/>
    </font>
    <font>
      <sz val="28"/>
      <name val="Cordia New"/>
      <family val="2"/>
    </font>
    <font>
      <b/>
      <sz val="48"/>
      <name val="Cordia New"/>
      <family val="2"/>
    </font>
    <font>
      <sz val="4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9"/>
      <name val="Cordia New"/>
      <family val="2"/>
    </font>
    <font>
      <sz val="22"/>
      <color indexed="8"/>
      <name val="Cordia New"/>
      <family val="2"/>
    </font>
    <font>
      <b/>
      <sz val="22"/>
      <color indexed="8"/>
      <name val="Cordia New"/>
      <family val="2"/>
    </font>
    <font>
      <b/>
      <sz val="22"/>
      <color indexed="10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22"/>
      <color theme="0"/>
      <name val="Cordia New"/>
      <family val="2"/>
    </font>
    <font>
      <sz val="22"/>
      <color theme="1"/>
      <name val="Cordia New"/>
      <family val="2"/>
    </font>
    <font>
      <b/>
      <sz val="22"/>
      <color theme="1"/>
      <name val="Cordia New"/>
      <family val="2"/>
    </font>
    <font>
      <b/>
      <sz val="22"/>
      <color rgb="FFFF0000"/>
      <name val="Cordia Ne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43" fontId="0" fillId="0" borderId="0" xfId="36" applyFont="1" applyAlignment="1">
      <alignment/>
    </xf>
    <xf numFmtId="43" fontId="2" fillId="34" borderId="15" xfId="36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43" fontId="2" fillId="34" borderId="15" xfId="36" applyFont="1" applyFill="1" applyBorder="1" applyAlignment="1">
      <alignment horizontal="left"/>
    </xf>
    <xf numFmtId="43" fontId="0" fillId="0" borderId="15" xfId="36" applyFont="1" applyBorder="1" applyAlignment="1">
      <alignment/>
    </xf>
    <xf numFmtId="9" fontId="0" fillId="0" borderId="15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2" fillId="34" borderId="15" xfId="36" applyFont="1" applyFill="1" applyBorder="1" applyAlignment="1">
      <alignment horizontal="center"/>
    </xf>
    <xf numFmtId="197" fontId="2" fillId="34" borderId="15" xfId="36" applyNumberFormat="1" applyFont="1" applyFill="1" applyBorder="1" applyAlignment="1" quotePrefix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9" fontId="7" fillId="36" borderId="15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43" fontId="7" fillId="37" borderId="16" xfId="36" applyFont="1" applyFill="1" applyBorder="1" applyAlignment="1">
      <alignment horizontal="center"/>
    </xf>
    <xf numFmtId="43" fontId="7" fillId="37" borderId="17" xfId="36" applyFont="1" applyFill="1" applyBorder="1" applyAlignment="1">
      <alignment horizontal="center"/>
    </xf>
    <xf numFmtId="43" fontId="7" fillId="37" borderId="18" xfId="36" applyFont="1" applyFill="1" applyBorder="1" applyAlignment="1">
      <alignment horizontal="center"/>
    </xf>
    <xf numFmtId="43" fontId="7" fillId="37" borderId="15" xfId="36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197" fontId="7" fillId="37" borderId="19" xfId="36" applyNumberFormat="1" applyFont="1" applyFill="1" applyBorder="1" applyAlignment="1">
      <alignment horizontal="center"/>
    </xf>
    <xf numFmtId="197" fontId="7" fillId="37" borderId="17" xfId="36" applyNumberFormat="1" applyFont="1" applyFill="1" applyBorder="1" applyAlignment="1">
      <alignment horizontal="center"/>
    </xf>
    <xf numFmtId="197" fontId="7" fillId="37" borderId="15" xfId="36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5" xfId="0" applyBorder="1" applyAlignment="1">
      <alignment/>
    </xf>
    <xf numFmtId="9" fontId="7" fillId="37" borderId="17" xfId="36" applyNumberFormat="1" applyFont="1" applyFill="1" applyBorder="1" applyAlignment="1">
      <alignment horizontal="center"/>
    </xf>
    <xf numFmtId="9" fontId="7" fillId="37" borderId="15" xfId="36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36" applyFont="1" applyAlignment="1">
      <alignment/>
    </xf>
    <xf numFmtId="0" fontId="12" fillId="36" borderId="11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4" fontId="12" fillId="36" borderId="20" xfId="0" applyNumberFormat="1" applyFont="1" applyFill="1" applyBorder="1" applyAlignment="1">
      <alignment/>
    </xf>
    <xf numFmtId="9" fontId="12" fillId="36" borderId="20" xfId="0" applyNumberFormat="1" applyFont="1" applyFill="1" applyBorder="1" applyAlignment="1">
      <alignment/>
    </xf>
    <xf numFmtId="43" fontId="12" fillId="36" borderId="20" xfId="36" applyFont="1" applyFill="1" applyBorder="1" applyAlignment="1">
      <alignment/>
    </xf>
    <xf numFmtId="43" fontId="12" fillId="36" borderId="12" xfId="36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4" fontId="12" fillId="34" borderId="20" xfId="0" applyNumberFormat="1" applyFont="1" applyFill="1" applyBorder="1" applyAlignment="1">
      <alignment/>
    </xf>
    <xf numFmtId="9" fontId="12" fillId="34" borderId="20" xfId="0" applyNumberFormat="1" applyFont="1" applyFill="1" applyBorder="1" applyAlignment="1">
      <alignment/>
    </xf>
    <xf numFmtId="43" fontId="12" fillId="34" borderId="20" xfId="36" applyFont="1" applyFill="1" applyBorder="1" applyAlignment="1">
      <alignment/>
    </xf>
    <xf numFmtId="43" fontId="12" fillId="34" borderId="12" xfId="36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4" fontId="12" fillId="34" borderId="23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9" fontId="13" fillId="34" borderId="15" xfId="0" applyNumberFormat="1" applyFont="1" applyFill="1" applyBorder="1" applyAlignment="1">
      <alignment/>
    </xf>
    <xf numFmtId="43" fontId="12" fillId="34" borderId="23" xfId="36" applyFont="1" applyFill="1" applyBorder="1" applyAlignment="1">
      <alignment/>
    </xf>
    <xf numFmtId="43" fontId="12" fillId="34" borderId="14" xfId="36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3" fontId="12" fillId="34" borderId="10" xfId="36" applyFont="1" applyFill="1" applyBorder="1" applyAlignment="1">
      <alignment/>
    </xf>
    <xf numFmtId="43" fontId="12" fillId="34" borderId="25" xfId="36" applyFont="1" applyFill="1" applyBorder="1" applyAlignment="1">
      <alignment/>
    </xf>
    <xf numFmtId="0" fontId="12" fillId="38" borderId="21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4" fontId="12" fillId="38" borderId="20" xfId="0" applyNumberFormat="1" applyFont="1" applyFill="1" applyBorder="1" applyAlignment="1">
      <alignment/>
    </xf>
    <xf numFmtId="9" fontId="12" fillId="38" borderId="20" xfId="0" applyNumberFormat="1" applyFont="1" applyFill="1" applyBorder="1" applyAlignment="1">
      <alignment/>
    </xf>
    <xf numFmtId="43" fontId="12" fillId="38" borderId="20" xfId="36" applyFont="1" applyFill="1" applyBorder="1" applyAlignment="1">
      <alignment/>
    </xf>
    <xf numFmtId="43" fontId="12" fillId="38" borderId="12" xfId="36" applyFont="1" applyFill="1" applyBorder="1" applyAlignment="1">
      <alignment/>
    </xf>
    <xf numFmtId="43" fontId="13" fillId="0" borderId="26" xfId="36" applyFont="1" applyBorder="1" applyAlignment="1">
      <alignment/>
    </xf>
    <xf numFmtId="43" fontId="13" fillId="0" borderId="0" xfId="36" applyFont="1" applyBorder="1" applyAlignment="1">
      <alignment/>
    </xf>
    <xf numFmtId="43" fontId="13" fillId="0" borderId="27" xfId="36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7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/>
    </xf>
    <xf numFmtId="0" fontId="7" fillId="38" borderId="34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14" fillId="0" borderId="35" xfId="0" applyFont="1" applyBorder="1" applyAlignment="1" quotePrefix="1">
      <alignment/>
    </xf>
    <xf numFmtId="0" fontId="14" fillId="0" borderId="36" xfId="0" applyFont="1" applyBorder="1" applyAlignment="1" quotePrefix="1">
      <alignment/>
    </xf>
    <xf numFmtId="0" fontId="14" fillId="0" borderId="37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/>
    </xf>
    <xf numFmtId="0" fontId="14" fillId="0" borderId="38" xfId="0" applyFont="1" applyFill="1" applyBorder="1" applyAlignment="1">
      <alignment/>
    </xf>
    <xf numFmtId="0" fontId="14" fillId="0" borderId="39" xfId="0" applyFont="1" applyBorder="1" applyAlignment="1">
      <alignment/>
    </xf>
    <xf numFmtId="0" fontId="7" fillId="34" borderId="40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14" fillId="0" borderId="24" xfId="0" applyFont="1" applyBorder="1" applyAlignment="1" quotePrefix="1">
      <alignment/>
    </xf>
    <xf numFmtId="0" fontId="14" fillId="0" borderId="38" xfId="0" applyFont="1" applyBorder="1" applyAlignment="1" quotePrefix="1">
      <alignment/>
    </xf>
    <xf numFmtId="0" fontId="14" fillId="0" borderId="39" xfId="0" applyFont="1" applyFill="1" applyBorder="1" applyAlignment="1" quotePrefix="1">
      <alignment horizontal="center"/>
    </xf>
    <xf numFmtId="0" fontId="5" fillId="0" borderId="0" xfId="0" applyFont="1" applyAlignment="1" quotePrefix="1">
      <alignment/>
    </xf>
    <xf numFmtId="0" fontId="5" fillId="0" borderId="24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30" xfId="0" applyFont="1" applyBorder="1" applyAlignment="1">
      <alignment/>
    </xf>
    <xf numFmtId="0" fontId="7" fillId="38" borderId="16" xfId="0" applyFont="1" applyFill="1" applyBorder="1" applyAlignment="1">
      <alignment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/>
    </xf>
    <xf numFmtId="0" fontId="7" fillId="38" borderId="43" xfId="0" applyFont="1" applyFill="1" applyBorder="1" applyAlignment="1">
      <alignment/>
    </xf>
    <xf numFmtId="0" fontId="7" fillId="34" borderId="43" xfId="0" applyFont="1" applyFill="1" applyBorder="1" applyAlignment="1">
      <alignment horizontal="center"/>
    </xf>
    <xf numFmtId="0" fontId="5" fillId="0" borderId="22" xfId="0" applyFont="1" applyBorder="1" applyAlignment="1" quotePrefix="1">
      <alignment/>
    </xf>
    <xf numFmtId="0" fontId="14" fillId="0" borderId="41" xfId="0" applyFont="1" applyBorder="1" applyAlignment="1" quotePrefix="1">
      <alignment/>
    </xf>
    <xf numFmtId="0" fontId="14" fillId="0" borderId="30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5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9" fontId="16" fillId="0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7" fillId="39" borderId="15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18" fillId="38" borderId="44" xfId="0" applyFont="1" applyFill="1" applyBorder="1" applyAlignment="1">
      <alignment horizontal="left"/>
    </xf>
    <xf numFmtId="0" fontId="18" fillId="38" borderId="0" xfId="0" applyFont="1" applyFill="1" applyBorder="1" applyAlignment="1">
      <alignment horizontal="left"/>
    </xf>
    <xf numFmtId="0" fontId="5" fillId="38" borderId="45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197" fontId="0" fillId="38" borderId="15" xfId="36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0" fontId="5" fillId="41" borderId="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Fill="1" applyBorder="1" applyAlignment="1">
      <alignment/>
    </xf>
    <xf numFmtId="43" fontId="5" fillId="0" borderId="15" xfId="36" applyFont="1" applyBorder="1" applyAlignment="1">
      <alignment/>
    </xf>
    <xf numFmtId="43" fontId="0" fillId="0" borderId="0" xfId="36" applyFont="1" applyBorder="1" applyAlignment="1">
      <alignment/>
    </xf>
    <xf numFmtId="9" fontId="0" fillId="0" borderId="0" xfId="0" applyNumberFormat="1" applyBorder="1" applyAlignment="1">
      <alignment/>
    </xf>
    <xf numFmtId="43" fontId="0" fillId="0" borderId="0" xfId="36" applyFont="1" applyBorder="1" applyAlignment="1">
      <alignment/>
    </xf>
    <xf numFmtId="43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34" xfId="0" applyNumberFormat="1" applyBorder="1" applyAlignment="1">
      <alignment/>
    </xf>
    <xf numFmtId="0" fontId="20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1" fillId="9" borderId="15" xfId="0" applyFont="1" applyFill="1" applyBorder="1" applyAlignment="1">
      <alignment/>
    </xf>
    <xf numFmtId="0" fontId="21" fillId="42" borderId="15" xfId="0" applyFont="1" applyFill="1" applyBorder="1" applyAlignment="1">
      <alignment/>
    </xf>
    <xf numFmtId="0" fontId="22" fillId="9" borderId="15" xfId="0" applyFont="1" applyFill="1" applyBorder="1" applyAlignment="1">
      <alignment horizontal="center"/>
    </xf>
    <xf numFmtId="0" fontId="22" fillId="9" borderId="15" xfId="0" applyFont="1" applyFill="1" applyBorder="1" applyAlignment="1">
      <alignment/>
    </xf>
    <xf numFmtId="0" fontId="23" fillId="9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42" borderId="15" xfId="0" applyFont="1" applyFill="1" applyBorder="1" applyAlignment="1">
      <alignment horizontal="center"/>
    </xf>
    <xf numFmtId="0" fontId="27" fillId="4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43" borderId="15" xfId="0" applyFont="1" applyFill="1" applyBorder="1" applyAlignment="1">
      <alignment horizontal="center" wrapText="1"/>
    </xf>
    <xf numFmtId="9" fontId="7" fillId="36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44" borderId="15" xfId="0" applyNumberFormat="1" applyFont="1" applyFill="1" applyBorder="1" applyAlignment="1" quotePrefix="1">
      <alignment/>
    </xf>
    <xf numFmtId="9" fontId="0" fillId="44" borderId="15" xfId="0" applyNumberFormat="1" applyFill="1" applyBorder="1" applyAlignment="1">
      <alignment/>
    </xf>
    <xf numFmtId="0" fontId="0" fillId="44" borderId="15" xfId="0" applyNumberFormat="1" applyFont="1" applyFill="1" applyBorder="1" applyAlignment="1">
      <alignment/>
    </xf>
    <xf numFmtId="0" fontId="0" fillId="44" borderId="15" xfId="0" applyFont="1" applyFill="1" applyBorder="1" applyAlignment="1">
      <alignment/>
    </xf>
    <xf numFmtId="0" fontId="0" fillId="44" borderId="15" xfId="0" applyFill="1" applyBorder="1" applyAlignment="1">
      <alignment/>
    </xf>
    <xf numFmtId="9" fontId="5" fillId="44" borderId="15" xfId="0" applyNumberFormat="1" applyFont="1" applyFill="1" applyBorder="1" applyAlignment="1">
      <alignment/>
    </xf>
    <xf numFmtId="0" fontId="5" fillId="36" borderId="32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6" borderId="47" xfId="0" applyFont="1" applyFill="1" applyBorder="1" applyAlignment="1">
      <alignment horizontal="center"/>
    </xf>
    <xf numFmtId="0" fontId="7" fillId="36" borderId="4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51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33" xfId="0" applyFont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97" fontId="6" fillId="35" borderId="18" xfId="36" applyNumberFormat="1" applyFont="1" applyFill="1" applyBorder="1" applyAlignment="1">
      <alignment horizontal="center" vertical="center"/>
    </xf>
    <xf numFmtId="197" fontId="6" fillId="35" borderId="52" xfId="36" applyNumberFormat="1" applyFont="1" applyFill="1" applyBorder="1" applyAlignment="1">
      <alignment horizontal="center" vertical="center"/>
    </xf>
    <xf numFmtId="9" fontId="5" fillId="35" borderId="18" xfId="0" applyNumberFormat="1" applyFont="1" applyFill="1" applyBorder="1" applyAlignment="1">
      <alignment horizontal="center" vertical="center" wrapText="1"/>
    </xf>
    <xf numFmtId="9" fontId="5" fillId="35" borderId="52" xfId="0" applyNumberFormat="1" applyFont="1" applyFill="1" applyBorder="1" applyAlignment="1">
      <alignment horizontal="center" vertical="center"/>
    </xf>
    <xf numFmtId="43" fontId="6" fillId="35" borderId="18" xfId="36" applyFont="1" applyFill="1" applyBorder="1" applyAlignment="1">
      <alignment horizontal="center" vertical="center"/>
    </xf>
    <xf numFmtId="43" fontId="6" fillId="35" borderId="52" xfId="36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43" fontId="5" fillId="35" borderId="18" xfId="36" applyFont="1" applyFill="1" applyBorder="1" applyAlignment="1">
      <alignment horizontal="center" vertical="center"/>
    </xf>
    <xf numFmtId="43" fontId="5" fillId="35" borderId="52" xfId="36" applyFont="1" applyFill="1" applyBorder="1" applyAlignment="1">
      <alignment horizontal="center" vertical="center"/>
    </xf>
    <xf numFmtId="9" fontId="5" fillId="35" borderId="18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5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45" borderId="15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67" fillId="4" borderId="15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1"/>
  <sheetViews>
    <sheetView zoomScalePageLayoutView="0" workbookViewId="0" topLeftCell="A1">
      <selection activeCell="B3" sqref="B3:E11"/>
    </sheetView>
  </sheetViews>
  <sheetFormatPr defaultColWidth="9.140625" defaultRowHeight="21.75"/>
  <sheetData>
    <row r="3" spans="2:5" ht="21.75">
      <c r="B3" s="146"/>
      <c r="C3" s="146" t="s">
        <v>154</v>
      </c>
      <c r="D3" s="146" t="s">
        <v>172</v>
      </c>
      <c r="E3" s="146" t="s">
        <v>173</v>
      </c>
    </row>
    <row r="4" spans="2:5" ht="21.75">
      <c r="B4" s="40">
        <v>1</v>
      </c>
      <c r="C4" s="40">
        <v>50</v>
      </c>
      <c r="D4" s="40" t="str">
        <f>IF(C4&gt;=50,"ผ่าน","ไม่ผ่าน")</f>
        <v>ผ่าน</v>
      </c>
      <c r="E4" s="40">
        <f>IF(C4&gt;=50,C4+5,C4)</f>
        <v>55</v>
      </c>
    </row>
    <row r="5" spans="2:5" ht="21.75">
      <c r="B5" s="40">
        <v>2</v>
      </c>
      <c r="C5" s="40">
        <v>45</v>
      </c>
      <c r="D5" s="40" t="str">
        <f>IF(C5&gt;=50,"ผ่าน","ไม่ผ่าน")</f>
        <v>ไม่ผ่าน</v>
      </c>
      <c r="E5" s="40">
        <f aca="true" t="shared" si="0" ref="E5:E11">IF(C5&gt;=50,5,0)</f>
        <v>0</v>
      </c>
    </row>
    <row r="6" spans="2:5" ht="21.75">
      <c r="B6" s="40">
        <v>3</v>
      </c>
      <c r="C6" s="40">
        <v>30</v>
      </c>
      <c r="D6" s="40" t="str">
        <f aca="true" t="shared" si="1" ref="D6:D11">IF(C6&gt;=50,"ผ่าน","ไม่ผ่าน")</f>
        <v>ไม่ผ่าน</v>
      </c>
      <c r="E6" s="40">
        <f t="shared" si="0"/>
        <v>0</v>
      </c>
    </row>
    <row r="7" spans="2:5" ht="21.75">
      <c r="B7" s="40">
        <v>4</v>
      </c>
      <c r="C7" s="147">
        <v>20</v>
      </c>
      <c r="D7" s="40" t="str">
        <f t="shared" si="1"/>
        <v>ไม่ผ่าน</v>
      </c>
      <c r="E7" s="40">
        <f t="shared" si="0"/>
        <v>0</v>
      </c>
    </row>
    <row r="8" spans="2:5" ht="21.75">
      <c r="B8" s="40">
        <v>5</v>
      </c>
      <c r="C8" s="147">
        <v>90</v>
      </c>
      <c r="D8" s="40" t="str">
        <f t="shared" si="1"/>
        <v>ผ่าน</v>
      </c>
      <c r="E8" s="40">
        <f t="shared" si="0"/>
        <v>5</v>
      </c>
    </row>
    <row r="9" spans="2:5" ht="21.75">
      <c r="B9" s="40">
        <v>6</v>
      </c>
      <c r="C9" s="147">
        <v>50</v>
      </c>
      <c r="D9" s="40" t="str">
        <f t="shared" si="1"/>
        <v>ผ่าน</v>
      </c>
      <c r="E9" s="40">
        <f t="shared" si="0"/>
        <v>5</v>
      </c>
    </row>
    <row r="10" spans="2:5" ht="21.75">
      <c r="B10" s="40">
        <v>7</v>
      </c>
      <c r="C10" s="147">
        <v>65</v>
      </c>
      <c r="D10" s="40" t="str">
        <f t="shared" si="1"/>
        <v>ผ่าน</v>
      </c>
      <c r="E10" s="40">
        <f t="shared" si="0"/>
        <v>5</v>
      </c>
    </row>
    <row r="11" spans="2:5" ht="21.75">
      <c r="B11" s="40">
        <v>8</v>
      </c>
      <c r="C11" s="147">
        <v>40</v>
      </c>
      <c r="D11" s="40" t="str">
        <f t="shared" si="1"/>
        <v>ไม่ผ่าน</v>
      </c>
      <c r="E11" s="4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="160" zoomScaleNormal="160" zoomScalePageLayoutView="0" workbookViewId="0" topLeftCell="B5">
      <selection activeCell="G2" sqref="G2:G11"/>
    </sheetView>
  </sheetViews>
  <sheetFormatPr defaultColWidth="9.140625" defaultRowHeight="21.75"/>
  <cols>
    <col min="3" max="3" width="8.421875" style="0" customWidth="1"/>
    <col min="4" max="4" width="7.7109375" style="0" customWidth="1"/>
    <col min="5" max="5" width="8.421875" style="0" bestFit="1" customWidth="1"/>
    <col min="6" max="6" width="7.8515625" style="0" bestFit="1" customWidth="1"/>
    <col min="7" max="7" width="7.8515625" style="0" customWidth="1"/>
    <col min="8" max="8" width="7.7109375" style="0" bestFit="1" customWidth="1"/>
    <col min="9" max="9" width="8.421875" style="0" customWidth="1"/>
    <col min="10" max="10" width="11.421875" style="0" customWidth="1"/>
    <col min="14" max="14" width="14.7109375" style="0" customWidth="1"/>
  </cols>
  <sheetData>
    <row r="1" spans="1:10" ht="59.25" customHeight="1">
      <c r="A1" s="22" t="s">
        <v>0</v>
      </c>
      <c r="B1" s="22" t="s">
        <v>37</v>
      </c>
      <c r="C1" s="22" t="s">
        <v>38</v>
      </c>
      <c r="D1" s="175" t="s">
        <v>204</v>
      </c>
      <c r="E1" s="24" t="s">
        <v>108</v>
      </c>
      <c r="F1" s="24" t="s">
        <v>101</v>
      </c>
      <c r="G1" s="24" t="s">
        <v>198</v>
      </c>
      <c r="H1" s="22" t="s">
        <v>36</v>
      </c>
      <c r="I1" s="22" t="s">
        <v>102</v>
      </c>
      <c r="J1" s="174" t="s">
        <v>203</v>
      </c>
    </row>
    <row r="2" spans="1:15" ht="23.25">
      <c r="A2" s="33">
        <v>1</v>
      </c>
      <c r="B2" s="25" t="s">
        <v>39</v>
      </c>
      <c r="C2" s="26">
        <v>500</v>
      </c>
      <c r="D2" s="26">
        <f>C2*7%+C2</f>
        <v>535</v>
      </c>
      <c r="E2" s="41">
        <f>IF(D2&gt;=1000,30%,IF(D2&gt;=500,20%,IF(D2&gt;=100,15%,10%)))</f>
        <v>0.2</v>
      </c>
      <c r="F2" s="41">
        <f>VLOOKUP(D2,$L$7:$N$10,2)</f>
        <v>0.2</v>
      </c>
      <c r="G2" s="41">
        <f>HLOOKUP(D2,$F$13:$I$14,2)</f>
        <v>0.2</v>
      </c>
      <c r="H2" s="26">
        <f>D2*F2</f>
        <v>107</v>
      </c>
      <c r="I2" s="28">
        <f>D2-H2</f>
        <v>428</v>
      </c>
      <c r="J2" s="173" t="str">
        <f>VLOOKUP(D2,$L$7:$N$10,3)</f>
        <v>***</v>
      </c>
      <c r="K2" s="176" t="s">
        <v>199</v>
      </c>
      <c r="O2" s="135" t="s">
        <v>158</v>
      </c>
    </row>
    <row r="3" spans="1:15" ht="23.25">
      <c r="A3" s="34">
        <v>2</v>
      </c>
      <c r="B3" s="26" t="s">
        <v>40</v>
      </c>
      <c r="C3" s="26">
        <v>145</v>
      </c>
      <c r="D3" s="26">
        <f aca="true" t="shared" si="0" ref="D3:D11">C3*7%+C3</f>
        <v>155.15</v>
      </c>
      <c r="E3" s="41">
        <f aca="true" t="shared" si="1" ref="E3:E11">IF(D3&gt;=1000,30%,IF(D3&gt;=500,20%,IF(D3&gt;=100,15%,10%)))</f>
        <v>0.15</v>
      </c>
      <c r="F3" s="41">
        <f aca="true" t="shared" si="2" ref="F3:F11">VLOOKUP(D3,$L$7:$N$10,2)</f>
        <v>0.15</v>
      </c>
      <c r="G3" s="41">
        <f aca="true" t="shared" si="3" ref="G3:G11">HLOOKUP(D3,$F$13:$I$14,2)</f>
        <v>0.15</v>
      </c>
      <c r="H3" s="26">
        <f aca="true" t="shared" si="4" ref="H3:H11">D3*F3</f>
        <v>23.2725</v>
      </c>
      <c r="I3" s="28">
        <f aca="true" t="shared" si="5" ref="I3:I11">D3-H3</f>
        <v>131.8775</v>
      </c>
      <c r="J3" s="173" t="str">
        <f aca="true" t="shared" si="6" ref="J3:J11">VLOOKUP(D3,$L$7:$N$10,3)</f>
        <v>**</v>
      </c>
      <c r="K3" s="176" t="s">
        <v>200</v>
      </c>
      <c r="O3" s="135" t="s">
        <v>159</v>
      </c>
    </row>
    <row r="4" spans="1:15" ht="23.25">
      <c r="A4" s="34">
        <v>3</v>
      </c>
      <c r="B4" s="26" t="s">
        <v>41</v>
      </c>
      <c r="C4" s="26">
        <v>190</v>
      </c>
      <c r="D4" s="26">
        <f t="shared" si="0"/>
        <v>203.3</v>
      </c>
      <c r="E4" s="41">
        <f t="shared" si="1"/>
        <v>0.15</v>
      </c>
      <c r="F4" s="41">
        <f t="shared" si="2"/>
        <v>0.15</v>
      </c>
      <c r="G4" s="41">
        <f t="shared" si="3"/>
        <v>0.15</v>
      </c>
      <c r="H4" s="26">
        <f t="shared" si="4"/>
        <v>30.495</v>
      </c>
      <c r="I4" s="28">
        <f t="shared" si="5"/>
        <v>172.805</v>
      </c>
      <c r="J4" s="173" t="str">
        <f t="shared" si="6"/>
        <v>**</v>
      </c>
      <c r="K4" s="176" t="s">
        <v>201</v>
      </c>
      <c r="O4" s="135" t="s">
        <v>160</v>
      </c>
    </row>
    <row r="5" spans="1:15" ht="23.25">
      <c r="A5" s="34">
        <v>4</v>
      </c>
      <c r="B5" s="26" t="s">
        <v>42</v>
      </c>
      <c r="C5" s="26">
        <v>260</v>
      </c>
      <c r="D5" s="26">
        <f t="shared" si="0"/>
        <v>278.2</v>
      </c>
      <c r="E5" s="41">
        <f t="shared" si="1"/>
        <v>0.15</v>
      </c>
      <c r="F5" s="41">
        <f t="shared" si="2"/>
        <v>0.15</v>
      </c>
      <c r="G5" s="41">
        <f t="shared" si="3"/>
        <v>0.15</v>
      </c>
      <c r="H5" s="26">
        <f t="shared" si="4"/>
        <v>41.73</v>
      </c>
      <c r="I5" s="28">
        <f t="shared" si="5"/>
        <v>236.47</v>
      </c>
      <c r="J5" s="173" t="str">
        <f t="shared" si="6"/>
        <v>**</v>
      </c>
      <c r="K5" s="176" t="s">
        <v>202</v>
      </c>
      <c r="O5" s="135" t="s">
        <v>161</v>
      </c>
    </row>
    <row r="6" spans="1:10" ht="21.75">
      <c r="A6" s="34">
        <v>5</v>
      </c>
      <c r="B6" s="26" t="s">
        <v>43</v>
      </c>
      <c r="C6" s="26">
        <v>100</v>
      </c>
      <c r="D6" s="26">
        <f t="shared" si="0"/>
        <v>107</v>
      </c>
      <c r="E6" s="41">
        <f t="shared" si="1"/>
        <v>0.15</v>
      </c>
      <c r="F6" s="41">
        <f t="shared" si="2"/>
        <v>0.15</v>
      </c>
      <c r="G6" s="41">
        <f t="shared" si="3"/>
        <v>0.15</v>
      </c>
      <c r="H6" s="26">
        <f t="shared" si="4"/>
        <v>16.05</v>
      </c>
      <c r="I6" s="28">
        <f t="shared" si="5"/>
        <v>90.95</v>
      </c>
      <c r="J6" s="173" t="str">
        <f t="shared" si="6"/>
        <v>**</v>
      </c>
    </row>
    <row r="7" spans="1:16" ht="21.75">
      <c r="A7" s="34">
        <v>6</v>
      </c>
      <c r="B7" s="26" t="s">
        <v>44</v>
      </c>
      <c r="C7" s="26">
        <v>200</v>
      </c>
      <c r="D7" s="26">
        <f t="shared" si="0"/>
        <v>214</v>
      </c>
      <c r="E7" s="41">
        <f t="shared" si="1"/>
        <v>0.15</v>
      </c>
      <c r="F7" s="41">
        <f t="shared" si="2"/>
        <v>0.15</v>
      </c>
      <c r="G7" s="41">
        <f t="shared" si="3"/>
        <v>0.15</v>
      </c>
      <c r="H7" s="26">
        <f t="shared" si="4"/>
        <v>32.1</v>
      </c>
      <c r="I7" s="28">
        <f t="shared" si="5"/>
        <v>181.9</v>
      </c>
      <c r="J7" s="173" t="str">
        <f t="shared" si="6"/>
        <v>**</v>
      </c>
      <c r="L7" s="178">
        <v>1</v>
      </c>
      <c r="M7" s="179">
        <v>0.1</v>
      </c>
      <c r="N7" s="181" t="s">
        <v>158</v>
      </c>
      <c r="P7" s="177" t="s">
        <v>205</v>
      </c>
    </row>
    <row r="8" spans="1:16" ht="21.75">
      <c r="A8" s="34">
        <v>7</v>
      </c>
      <c r="B8" s="26" t="s">
        <v>45</v>
      </c>
      <c r="C8" s="26">
        <v>300</v>
      </c>
      <c r="D8" s="26">
        <f t="shared" si="0"/>
        <v>321</v>
      </c>
      <c r="E8" s="41">
        <f t="shared" si="1"/>
        <v>0.15</v>
      </c>
      <c r="F8" s="41">
        <f t="shared" si="2"/>
        <v>0.15</v>
      </c>
      <c r="G8" s="41">
        <f t="shared" si="3"/>
        <v>0.15</v>
      </c>
      <c r="H8" s="26">
        <f t="shared" si="4"/>
        <v>48.15</v>
      </c>
      <c r="I8" s="28">
        <f t="shared" si="5"/>
        <v>272.85</v>
      </c>
      <c r="J8" s="173" t="str">
        <f t="shared" si="6"/>
        <v>**</v>
      </c>
      <c r="L8" s="180">
        <v>100</v>
      </c>
      <c r="M8" s="179">
        <v>0.15</v>
      </c>
      <c r="N8" s="181" t="s">
        <v>159</v>
      </c>
      <c r="P8" s="135" t="s">
        <v>206</v>
      </c>
    </row>
    <row r="9" spans="1:16" ht="21.75">
      <c r="A9" s="34">
        <v>8</v>
      </c>
      <c r="B9" s="26" t="s">
        <v>46</v>
      </c>
      <c r="C9" s="26">
        <v>250</v>
      </c>
      <c r="D9" s="26">
        <f t="shared" si="0"/>
        <v>267.5</v>
      </c>
      <c r="E9" s="41">
        <f t="shared" si="1"/>
        <v>0.15</v>
      </c>
      <c r="F9" s="41">
        <f t="shared" si="2"/>
        <v>0.15</v>
      </c>
      <c r="G9" s="41">
        <f t="shared" si="3"/>
        <v>0.15</v>
      </c>
      <c r="H9" s="26">
        <f t="shared" si="4"/>
        <v>40.125</v>
      </c>
      <c r="I9" s="28">
        <f t="shared" si="5"/>
        <v>227.375</v>
      </c>
      <c r="J9" s="173" t="str">
        <f t="shared" si="6"/>
        <v>**</v>
      </c>
      <c r="L9" s="180">
        <v>500</v>
      </c>
      <c r="M9" s="179">
        <v>0.2</v>
      </c>
      <c r="N9" s="181" t="s">
        <v>160</v>
      </c>
      <c r="P9" s="135" t="s">
        <v>207</v>
      </c>
    </row>
    <row r="10" spans="1:16" ht="21.75">
      <c r="A10" s="34">
        <v>9</v>
      </c>
      <c r="B10" s="26" t="s">
        <v>47</v>
      </c>
      <c r="C10" s="26">
        <v>1025</v>
      </c>
      <c r="D10" s="26">
        <f t="shared" si="0"/>
        <v>1096.75</v>
      </c>
      <c r="E10" s="41">
        <f t="shared" si="1"/>
        <v>0.3</v>
      </c>
      <c r="F10" s="41">
        <f t="shared" si="2"/>
        <v>0.3</v>
      </c>
      <c r="G10" s="41">
        <f t="shared" si="3"/>
        <v>0.3</v>
      </c>
      <c r="H10" s="26">
        <f t="shared" si="4"/>
        <v>329.025</v>
      </c>
      <c r="I10" s="28">
        <f t="shared" si="5"/>
        <v>767.725</v>
      </c>
      <c r="J10" s="173" t="str">
        <f t="shared" si="6"/>
        <v>****</v>
      </c>
      <c r="L10" s="180">
        <v>1000</v>
      </c>
      <c r="M10" s="179">
        <v>0.3</v>
      </c>
      <c r="N10" s="181" t="s">
        <v>161</v>
      </c>
      <c r="P10" s="135" t="s">
        <v>208</v>
      </c>
    </row>
    <row r="11" spans="1:10" ht="21.75">
      <c r="A11" s="35">
        <v>10</v>
      </c>
      <c r="B11" s="28" t="s">
        <v>48</v>
      </c>
      <c r="C11" s="28">
        <v>2205</v>
      </c>
      <c r="D11" s="26">
        <f t="shared" si="0"/>
        <v>2359.35</v>
      </c>
      <c r="E11" s="41">
        <f t="shared" si="1"/>
        <v>0.3</v>
      </c>
      <c r="F11" s="41">
        <f t="shared" si="2"/>
        <v>0.3</v>
      </c>
      <c r="G11" s="41">
        <f t="shared" si="3"/>
        <v>0.3</v>
      </c>
      <c r="H11" s="26">
        <f t="shared" si="4"/>
        <v>707.805</v>
      </c>
      <c r="I11" s="28">
        <f t="shared" si="5"/>
        <v>1651.545</v>
      </c>
      <c r="J11" s="173" t="str">
        <f t="shared" si="6"/>
        <v>****</v>
      </c>
    </row>
    <row r="13" spans="6:9" ht="21.75">
      <c r="F13" s="182">
        <v>1</v>
      </c>
      <c r="G13" s="182">
        <v>100</v>
      </c>
      <c r="H13" s="182">
        <v>500</v>
      </c>
      <c r="I13" s="182">
        <v>1000</v>
      </c>
    </row>
    <row r="14" spans="6:9" ht="21.75">
      <c r="F14" s="179">
        <v>0.1</v>
      </c>
      <c r="G14" s="179">
        <v>0.15</v>
      </c>
      <c r="H14" s="183">
        <v>0.2</v>
      </c>
      <c r="I14" s="183">
        <v>0.3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0"/>
  <sheetViews>
    <sheetView tabSelected="1" zoomScale="90" zoomScaleNormal="90" zoomScalePageLayoutView="0" workbookViewId="0" topLeftCell="A1">
      <selection activeCell="L14" sqref="L14"/>
    </sheetView>
  </sheetViews>
  <sheetFormatPr defaultColWidth="9.140625" defaultRowHeight="29.25" customHeight="1"/>
  <cols>
    <col min="1" max="1" width="5.00390625" style="229" customWidth="1"/>
    <col min="2" max="2" width="9.140625" style="229" customWidth="1"/>
    <col min="3" max="3" width="14.00390625" style="229" bestFit="1" customWidth="1"/>
    <col min="4" max="4" width="16.8515625" style="229" bestFit="1" customWidth="1"/>
    <col min="5" max="5" width="10.8515625" style="229" customWidth="1"/>
    <col min="6" max="6" width="27.57421875" style="229" bestFit="1" customWidth="1"/>
    <col min="7" max="7" width="41.8515625" style="229" bestFit="1" customWidth="1"/>
    <col min="8" max="8" width="10.7109375" style="229" customWidth="1"/>
    <col min="9" max="10" width="11.7109375" style="229" customWidth="1"/>
    <col min="11" max="12" width="9.140625" style="229" customWidth="1"/>
    <col min="13" max="13" width="9.140625" style="228" customWidth="1"/>
    <col min="14" max="16384" width="9.140625" style="229" customWidth="1"/>
  </cols>
  <sheetData>
    <row r="1" spans="2:10" ht="29.25" customHeight="1">
      <c r="B1" s="230" t="s">
        <v>211</v>
      </c>
      <c r="C1" s="230"/>
      <c r="D1" s="230"/>
      <c r="E1" s="230"/>
      <c r="F1" s="230"/>
      <c r="G1" s="230"/>
      <c r="H1" s="233"/>
      <c r="I1" s="233"/>
      <c r="J1" s="233"/>
    </row>
    <row r="2" spans="2:10" ht="29.25" customHeight="1">
      <c r="B2" s="230" t="s">
        <v>212</v>
      </c>
      <c r="C2" s="230"/>
      <c r="D2" s="230"/>
      <c r="E2" s="230"/>
      <c r="F2" s="230"/>
      <c r="G2" s="230"/>
      <c r="H2" s="233"/>
      <c r="I2" s="233"/>
      <c r="J2" s="233"/>
    </row>
    <row r="3" spans="2:10" ht="29.25" customHeight="1">
      <c r="B3" s="234" t="s">
        <v>0</v>
      </c>
      <c r="C3" s="234" t="s">
        <v>222</v>
      </c>
      <c r="D3" s="234" t="s">
        <v>213</v>
      </c>
      <c r="E3" s="234" t="s">
        <v>214</v>
      </c>
      <c r="F3" s="234" t="s">
        <v>215</v>
      </c>
      <c r="G3" s="234" t="s">
        <v>216</v>
      </c>
      <c r="H3" s="232"/>
      <c r="I3" s="232"/>
      <c r="J3" s="232"/>
    </row>
    <row r="4" spans="2:10" ht="29.25" customHeight="1">
      <c r="B4" s="236">
        <v>1</v>
      </c>
      <c r="C4" s="236">
        <v>1</v>
      </c>
      <c r="D4" s="236" t="str">
        <f>VLOOKUP(C4,$N$7:$P$9,2)</f>
        <v>สบู่</v>
      </c>
      <c r="E4" s="236">
        <f>VLOOKUP(C4,$N$7:$P$9,3)</f>
        <v>10</v>
      </c>
      <c r="F4" s="236">
        <v>1</v>
      </c>
      <c r="G4" s="236">
        <f>E4*F4</f>
        <v>10</v>
      </c>
      <c r="H4" s="232"/>
      <c r="I4" s="232"/>
      <c r="J4" s="232"/>
    </row>
    <row r="5" spans="2:10" ht="29.25" customHeight="1">
      <c r="B5" s="236">
        <v>2</v>
      </c>
      <c r="C5" s="236">
        <v>2</v>
      </c>
      <c r="D5" s="236" t="str">
        <f aca="true" t="shared" si="0" ref="D5:D13">VLOOKUP(C5,$N$7:$P$9,2)</f>
        <v>ยาสีฟัน</v>
      </c>
      <c r="E5" s="236">
        <f aca="true" t="shared" si="1" ref="E5:E13">VLOOKUP(C5,$N$7:$P$9,3)</f>
        <v>20</v>
      </c>
      <c r="F5" s="236">
        <v>5</v>
      </c>
      <c r="G5" s="236">
        <f aca="true" t="shared" si="2" ref="G5:G13">E5*F5</f>
        <v>100</v>
      </c>
      <c r="H5" s="232"/>
      <c r="I5" s="232"/>
      <c r="J5" s="232"/>
    </row>
    <row r="6" spans="2:10" ht="29.25" customHeight="1">
      <c r="B6" s="236">
        <v>3</v>
      </c>
      <c r="C6" s="236">
        <v>3</v>
      </c>
      <c r="D6" s="236" t="str">
        <f t="shared" si="0"/>
        <v>แชมพู</v>
      </c>
      <c r="E6" s="236">
        <f t="shared" si="1"/>
        <v>15</v>
      </c>
      <c r="F6" s="236">
        <v>1</v>
      </c>
      <c r="G6" s="236">
        <f t="shared" si="2"/>
        <v>15</v>
      </c>
      <c r="H6" s="232"/>
      <c r="I6" s="232"/>
      <c r="J6" s="232"/>
    </row>
    <row r="7" spans="2:16" ht="29.25" customHeight="1">
      <c r="B7" s="236">
        <v>4</v>
      </c>
      <c r="C7" s="236">
        <v>1</v>
      </c>
      <c r="D7" s="236" t="str">
        <f t="shared" si="0"/>
        <v>สบู่</v>
      </c>
      <c r="E7" s="236">
        <f t="shared" si="1"/>
        <v>10</v>
      </c>
      <c r="F7" s="236">
        <v>3</v>
      </c>
      <c r="G7" s="236">
        <f t="shared" si="2"/>
        <v>30</v>
      </c>
      <c r="H7" s="232"/>
      <c r="I7" s="232"/>
      <c r="J7" s="232"/>
      <c r="N7" s="231">
        <v>1</v>
      </c>
      <c r="O7" s="231" t="s">
        <v>217</v>
      </c>
      <c r="P7" s="231">
        <v>10</v>
      </c>
    </row>
    <row r="8" spans="2:16" ht="29.25" customHeight="1">
      <c r="B8" s="236">
        <v>5</v>
      </c>
      <c r="C8" s="236">
        <v>2</v>
      </c>
      <c r="D8" s="236" t="str">
        <f t="shared" si="0"/>
        <v>ยาสีฟัน</v>
      </c>
      <c r="E8" s="236">
        <f t="shared" si="1"/>
        <v>20</v>
      </c>
      <c r="F8" s="236">
        <v>4</v>
      </c>
      <c r="G8" s="236">
        <f t="shared" si="2"/>
        <v>80</v>
      </c>
      <c r="H8" s="232"/>
      <c r="I8" s="232"/>
      <c r="J8" s="232"/>
      <c r="N8" s="231">
        <v>2</v>
      </c>
      <c r="O8" s="231" t="s">
        <v>218</v>
      </c>
      <c r="P8" s="231">
        <v>20</v>
      </c>
    </row>
    <row r="9" spans="2:16" ht="29.25" customHeight="1">
      <c r="B9" s="236">
        <v>6</v>
      </c>
      <c r="C9" s="236">
        <v>3</v>
      </c>
      <c r="D9" s="236" t="str">
        <f t="shared" si="0"/>
        <v>แชมพู</v>
      </c>
      <c r="E9" s="236">
        <f t="shared" si="1"/>
        <v>15</v>
      </c>
      <c r="F9" s="236">
        <v>1</v>
      </c>
      <c r="G9" s="236">
        <f t="shared" si="2"/>
        <v>15</v>
      </c>
      <c r="H9" s="232"/>
      <c r="I9" s="232"/>
      <c r="J9" s="232" t="s">
        <v>226</v>
      </c>
      <c r="N9" s="231">
        <v>3</v>
      </c>
      <c r="O9" s="231" t="s">
        <v>219</v>
      </c>
      <c r="P9" s="231">
        <v>15</v>
      </c>
    </row>
    <row r="10" spans="2:10" ht="29.25" customHeight="1">
      <c r="B10" s="236">
        <v>7</v>
      </c>
      <c r="C10" s="236">
        <v>3</v>
      </c>
      <c r="D10" s="236" t="str">
        <f t="shared" si="0"/>
        <v>แชมพู</v>
      </c>
      <c r="E10" s="236">
        <f t="shared" si="1"/>
        <v>15</v>
      </c>
      <c r="F10" s="236">
        <v>2</v>
      </c>
      <c r="G10" s="236">
        <f t="shared" si="2"/>
        <v>30</v>
      </c>
      <c r="H10" s="232"/>
      <c r="I10" s="232"/>
      <c r="J10" s="232"/>
    </row>
    <row r="11" spans="2:10" ht="29.25" customHeight="1">
      <c r="B11" s="236">
        <v>8</v>
      </c>
      <c r="C11" s="236">
        <v>1</v>
      </c>
      <c r="D11" s="236" t="str">
        <f t="shared" si="0"/>
        <v>สบู่</v>
      </c>
      <c r="E11" s="236">
        <f t="shared" si="1"/>
        <v>10</v>
      </c>
      <c r="F11" s="236">
        <v>2</v>
      </c>
      <c r="G11" s="236">
        <f t="shared" si="2"/>
        <v>20</v>
      </c>
      <c r="H11" s="232"/>
      <c r="I11" s="232"/>
      <c r="J11" s="232"/>
    </row>
    <row r="12" spans="2:10" ht="29.25" customHeight="1">
      <c r="B12" s="236">
        <v>9</v>
      </c>
      <c r="C12" s="236">
        <v>1</v>
      </c>
      <c r="D12" s="236" t="str">
        <f t="shared" si="0"/>
        <v>สบู่</v>
      </c>
      <c r="E12" s="236">
        <f t="shared" si="1"/>
        <v>10</v>
      </c>
      <c r="F12" s="236">
        <v>3</v>
      </c>
      <c r="G12" s="236">
        <f t="shared" si="2"/>
        <v>30</v>
      </c>
      <c r="H12" s="232"/>
      <c r="I12" s="232"/>
      <c r="J12" s="232"/>
    </row>
    <row r="13" spans="2:10" ht="29.25" customHeight="1">
      <c r="B13" s="236">
        <v>10</v>
      </c>
      <c r="C13" s="236">
        <v>1</v>
      </c>
      <c r="D13" s="236" t="str">
        <f t="shared" si="0"/>
        <v>สบู่</v>
      </c>
      <c r="E13" s="236">
        <f t="shared" si="1"/>
        <v>10</v>
      </c>
      <c r="F13" s="236">
        <v>6</v>
      </c>
      <c r="G13" s="236">
        <v>65</v>
      </c>
      <c r="H13" s="232"/>
      <c r="I13" s="232"/>
      <c r="J13" s="232"/>
    </row>
    <row r="14" spans="2:10" ht="29.25" customHeight="1">
      <c r="B14" s="232"/>
      <c r="C14" s="232"/>
      <c r="D14" s="232"/>
      <c r="E14" s="232"/>
      <c r="F14" s="232" t="s">
        <v>216</v>
      </c>
      <c r="G14" s="231">
        <f>SUM(G4:G13)</f>
        <v>395</v>
      </c>
      <c r="H14" s="232"/>
      <c r="I14" s="232"/>
      <c r="J14" s="232"/>
    </row>
    <row r="15" spans="6:9" ht="29.25" customHeight="1">
      <c r="F15" s="229" t="s">
        <v>220</v>
      </c>
      <c r="G15" s="231">
        <f>G14*7%</f>
        <v>27.650000000000002</v>
      </c>
      <c r="I15" s="229">
        <f>ROUND(G16,0)</f>
        <v>423</v>
      </c>
    </row>
    <row r="16" spans="6:9" ht="29.25" customHeight="1">
      <c r="F16" s="229" t="s">
        <v>221</v>
      </c>
      <c r="G16" s="231">
        <f>G14+G15</f>
        <v>422.65</v>
      </c>
      <c r="I16" s="229">
        <f>ROUNDUP(G16,0)</f>
        <v>423</v>
      </c>
    </row>
    <row r="17" spans="6:9" ht="29.25" customHeight="1">
      <c r="F17" s="229" t="s">
        <v>225</v>
      </c>
      <c r="G17" s="229" t="str">
        <f>_xlfn.BAHTTEXT(G16)</f>
        <v>สี่ร้อยยี่สิบสองบาทหกสิบห้าสตางค์</v>
      </c>
      <c r="I17" s="229">
        <f>ROUNDDOWN(G16,0)</f>
        <v>422</v>
      </c>
    </row>
    <row r="18" spans="6:7" ht="29.25" customHeight="1">
      <c r="F18" s="229" t="s">
        <v>223</v>
      </c>
      <c r="G18" s="229">
        <v>300</v>
      </c>
    </row>
    <row r="19" spans="6:7" ht="29.25" customHeight="1">
      <c r="F19" s="229" t="s">
        <v>227</v>
      </c>
      <c r="G19" s="229">
        <f>G18-G16</f>
        <v>-122.64999999999998</v>
      </c>
    </row>
    <row r="20" spans="6:7" ht="29.25" customHeight="1">
      <c r="F20" s="229" t="s">
        <v>224</v>
      </c>
      <c r="G20" s="235" t="str">
        <f>IF(G18&lt;G16,"เงินไม่พอจ่าย","รอเงินทอน")</f>
        <v>เงินไม่พอจ่าย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4" sqref="H13:H14"/>
    </sheetView>
  </sheetViews>
  <sheetFormatPr defaultColWidth="9.140625" defaultRowHeight="21.75"/>
  <cols>
    <col min="2" max="2" width="16.421875" style="0" customWidth="1"/>
    <col min="9" max="9" width="15.57421875" style="0" bestFit="1" customWidth="1"/>
  </cols>
  <sheetData>
    <row r="1" ht="21.75">
      <c r="B1" s="135" t="s">
        <v>174</v>
      </c>
    </row>
    <row r="2" ht="21.75">
      <c r="B2" s="135" t="s">
        <v>175</v>
      </c>
    </row>
    <row r="3" spans="1:9" ht="21.75">
      <c r="A3" s="30"/>
      <c r="B3" s="30"/>
      <c r="C3" s="30"/>
      <c r="D3" s="30"/>
      <c r="E3" s="30"/>
      <c r="F3" s="30"/>
      <c r="G3" s="30"/>
      <c r="H3" s="136" t="s">
        <v>176</v>
      </c>
      <c r="I3" s="40"/>
    </row>
    <row r="4" spans="1:9" ht="21.75">
      <c r="A4" s="146"/>
      <c r="B4" s="146" t="s">
        <v>60</v>
      </c>
      <c r="C4" s="146" t="s">
        <v>177</v>
      </c>
      <c r="D4" s="146" t="s">
        <v>178</v>
      </c>
      <c r="E4" s="146" t="s">
        <v>179</v>
      </c>
      <c r="F4" s="146" t="s">
        <v>180</v>
      </c>
      <c r="G4" s="29"/>
      <c r="H4" s="146" t="s">
        <v>181</v>
      </c>
      <c r="I4" s="136" t="s">
        <v>182</v>
      </c>
    </row>
    <row r="5" spans="1:9" ht="21.75">
      <c r="A5" s="146">
        <v>1</v>
      </c>
      <c r="B5" s="148">
        <v>15000</v>
      </c>
      <c r="C5" s="146">
        <f>IF(B5&lt;15000,1000,0)</f>
        <v>0</v>
      </c>
      <c r="D5" s="146">
        <f>IF(B5&gt;=15000,500,300)</f>
        <v>500</v>
      </c>
      <c r="E5" s="146">
        <f>IF(B5&lt;10000,B5*10%,0)</f>
        <v>0</v>
      </c>
      <c r="F5" s="146" t="str">
        <f>IF(B5&gt;=10000,"เงินเดือนมาก","เงินเดือนน้อย")</f>
        <v>เงินเดือนมาก</v>
      </c>
      <c r="G5" s="29"/>
      <c r="H5" s="146" t="s">
        <v>183</v>
      </c>
      <c r="I5" s="136" t="s">
        <v>184</v>
      </c>
    </row>
    <row r="6" spans="1:9" ht="21.75">
      <c r="A6" s="146">
        <v>2</v>
      </c>
      <c r="B6" s="148">
        <v>7500</v>
      </c>
      <c r="C6" s="146">
        <f>IF(B6&lt;15000,B6+1000,0)</f>
        <v>8500</v>
      </c>
      <c r="D6" s="146">
        <f>IF(B6&gt;=15000,500,300)</f>
        <v>300</v>
      </c>
      <c r="E6" s="146">
        <f>IF(B6&lt;10000,B6*10%,0)</f>
        <v>750</v>
      </c>
      <c r="F6" s="146" t="str">
        <f>IF(B6&gt;=10000,"เงินเดือนมาก","เงินเดือนน้อย")</f>
        <v>เงินเดือนน้อย</v>
      </c>
      <c r="G6" s="29"/>
      <c r="H6" s="146" t="s">
        <v>185</v>
      </c>
      <c r="I6" s="136" t="s">
        <v>186</v>
      </c>
    </row>
    <row r="7" spans="1:9" ht="21.75">
      <c r="A7" s="146">
        <v>3</v>
      </c>
      <c r="B7" s="148">
        <v>6500</v>
      </c>
      <c r="C7" s="146">
        <f>IF(B7&lt;15000,B7+1000,0)</f>
        <v>7500</v>
      </c>
      <c r="D7" s="146">
        <f>IF(B7&gt;=15000,500,300)</f>
        <v>300</v>
      </c>
      <c r="E7" s="146">
        <f>IF(B7&lt;10000,B7*10%,0)</f>
        <v>650</v>
      </c>
      <c r="F7" s="146" t="str">
        <f>IF(B7&gt;=10000,"เงินเดือนมาก","เงินเดือนน้อย")</f>
        <v>เงินเดือนน้อย</v>
      </c>
      <c r="G7" s="29"/>
      <c r="H7" s="146" t="s">
        <v>187</v>
      </c>
      <c r="I7" s="136" t="s">
        <v>188</v>
      </c>
    </row>
    <row r="8" spans="1:9" ht="21.75">
      <c r="A8" s="146">
        <v>4</v>
      </c>
      <c r="B8" s="148">
        <v>30000</v>
      </c>
      <c r="C8" s="146">
        <f>IF(B8&lt;15000,B8+1000,0)</f>
        <v>0</v>
      </c>
      <c r="D8" s="146">
        <f>IF(B8&gt;=15000,500,300)</f>
        <v>500</v>
      </c>
      <c r="E8" s="146">
        <f>IF(B8&lt;10000,B8*10%,0)</f>
        <v>0</v>
      </c>
      <c r="F8" s="146" t="str">
        <f>IF(B8&gt;=10000,"เงินเดือนมาก","เงินเดือนน้อย")</f>
        <v>เงินเดือนมาก</v>
      </c>
      <c r="G8" s="29"/>
      <c r="H8" s="146" t="s">
        <v>189</v>
      </c>
      <c r="I8" s="136" t="s">
        <v>190</v>
      </c>
    </row>
    <row r="9" spans="1:9" ht="21.75">
      <c r="A9" s="30"/>
      <c r="B9" s="30"/>
      <c r="C9" s="30"/>
      <c r="D9" s="30"/>
      <c r="E9" s="30"/>
      <c r="F9" s="30"/>
      <c r="G9" s="30"/>
      <c r="H9" s="146" t="s">
        <v>191</v>
      </c>
      <c r="I9" s="136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="130" zoomScaleNormal="130" zoomScalePageLayoutView="0" workbookViewId="0" topLeftCell="E1">
      <selection activeCell="O3" sqref="O3:R10"/>
    </sheetView>
  </sheetViews>
  <sheetFormatPr defaultColWidth="9.140625" defaultRowHeight="21.75"/>
  <cols>
    <col min="1" max="1" width="6.28125" style="122" customWidth="1"/>
    <col min="2" max="2" width="23.8515625" style="30" customWidth="1"/>
    <col min="3" max="3" width="6.57421875" style="30" customWidth="1"/>
    <col min="4" max="4" width="7.00390625" style="30" customWidth="1"/>
    <col min="5" max="5" width="6.421875" style="30" bestFit="1" customWidth="1"/>
    <col min="6" max="6" width="9.140625" style="30" bestFit="1" customWidth="1"/>
    <col min="7" max="7" width="5.00390625" style="30" customWidth="1"/>
    <col min="8" max="8" width="5.421875" style="122" customWidth="1"/>
    <col min="9" max="10" width="0" style="30" hidden="1" customWidth="1"/>
    <col min="11" max="11" width="7.00390625" style="30" customWidth="1"/>
    <col min="12" max="12" width="11.421875" style="30" customWidth="1"/>
    <col min="13" max="13" width="9.00390625" style="83" customWidth="1"/>
    <col min="14" max="14" width="9.140625" style="30" customWidth="1"/>
    <col min="15" max="15" width="10.00390625" style="30" bestFit="1" customWidth="1"/>
    <col min="16" max="17" width="9.140625" style="30" customWidth="1"/>
    <col min="18" max="18" width="15.8515625" style="30" bestFit="1" customWidth="1"/>
    <col min="19" max="19" width="9.140625" style="30" customWidth="1"/>
    <col min="20" max="20" width="11.28125" style="21" bestFit="1" customWidth="1"/>
    <col min="21" max="21" width="9.140625" style="30" customWidth="1"/>
    <col min="22" max="22" width="12.00390625" style="30" bestFit="1" customWidth="1"/>
    <col min="23" max="16384" width="9.140625" style="30" customWidth="1"/>
  </cols>
  <sheetData>
    <row r="1" spans="1:10" ht="21.75" thickBot="1">
      <c r="A1" s="186" t="s">
        <v>70</v>
      </c>
      <c r="B1" s="187"/>
      <c r="C1" s="187"/>
      <c r="D1" s="187"/>
      <c r="E1" s="187"/>
      <c r="F1" s="187"/>
      <c r="G1" s="187"/>
      <c r="H1" s="187"/>
      <c r="I1" s="186"/>
      <c r="J1" s="186"/>
    </row>
    <row r="2" spans="1:14" ht="21">
      <c r="A2" s="191" t="s">
        <v>0</v>
      </c>
      <c r="B2" s="193" t="s">
        <v>1</v>
      </c>
      <c r="C2" s="188" t="s">
        <v>71</v>
      </c>
      <c r="D2" s="189"/>
      <c r="E2" s="190"/>
      <c r="F2" s="193" t="s">
        <v>2</v>
      </c>
      <c r="G2" s="195" t="s">
        <v>19</v>
      </c>
      <c r="H2" s="193" t="s">
        <v>3</v>
      </c>
      <c r="I2" s="197"/>
      <c r="J2" s="197"/>
      <c r="K2" s="199" t="s">
        <v>87</v>
      </c>
      <c r="L2" s="201" t="s">
        <v>128</v>
      </c>
      <c r="M2" s="184" t="s">
        <v>99</v>
      </c>
      <c r="N2" s="84"/>
    </row>
    <row r="3" spans="1:18" ht="21.75" thickBot="1">
      <c r="A3" s="192"/>
      <c r="B3" s="194"/>
      <c r="C3" s="85" t="s">
        <v>146</v>
      </c>
      <c r="D3" s="86" t="s">
        <v>145</v>
      </c>
      <c r="E3" s="87" t="s">
        <v>147</v>
      </c>
      <c r="F3" s="194"/>
      <c r="G3" s="196"/>
      <c r="H3" s="194"/>
      <c r="I3" s="198"/>
      <c r="J3" s="198"/>
      <c r="K3" s="200"/>
      <c r="L3" s="202"/>
      <c r="M3" s="185"/>
      <c r="N3" s="84"/>
      <c r="O3" s="88">
        <v>0</v>
      </c>
      <c r="P3" s="88" t="s">
        <v>27</v>
      </c>
      <c r="Q3" s="88" t="s">
        <v>35</v>
      </c>
      <c r="R3" s="89" t="s">
        <v>92</v>
      </c>
    </row>
    <row r="4" spans="1:18" ht="21">
      <c r="A4" s="92">
        <v>1</v>
      </c>
      <c r="B4" s="93" t="s">
        <v>4</v>
      </c>
      <c r="C4" s="93">
        <v>7</v>
      </c>
      <c r="D4" s="93">
        <v>0</v>
      </c>
      <c r="E4" s="93">
        <v>9</v>
      </c>
      <c r="F4" s="93">
        <v>50</v>
      </c>
      <c r="G4" s="94">
        <f>SUM(C4:F4)</f>
        <v>66</v>
      </c>
      <c r="H4" s="95" t="str">
        <f>IF(G4&gt;=80,"A",IF(G4&gt;=75,"B+",IF(G4&gt;=70,"B",IF(G4&gt;=65,"C+",IF(G4&gt;=60,"C",IF(G4&gt;=55,"D+",IF(G4&gt;=50,"D","E")))))))</f>
        <v>C+</v>
      </c>
      <c r="I4" s="93" t="str">
        <f>VLOOKUP(G4:G18,$O$3:$Q$10,3)</f>
        <v>ค+</v>
      </c>
      <c r="J4" s="93" t="str">
        <f>VLOOKUP(G4:G18,$O$3:$Q$10,2)</f>
        <v>C+</v>
      </c>
      <c r="K4" s="96" t="str">
        <f>IF(G4&gt;=50,"ผ่าน","ไม่ผ่าน")</f>
        <v>ผ่าน</v>
      </c>
      <c r="L4" s="97" t="str">
        <f>VLOOKUP(G4:G18,$O$3:$R$10,4)</f>
        <v>ค่อนข้างพอใช้</v>
      </c>
      <c r="M4" s="98" t="str">
        <f>VLOOKUP(G4:G18,$O$3:$R$10,3)</f>
        <v>ค+</v>
      </c>
      <c r="N4" s="99"/>
      <c r="O4" s="88">
        <v>50</v>
      </c>
      <c r="P4" s="88" t="s">
        <v>26</v>
      </c>
      <c r="Q4" s="88" t="s">
        <v>34</v>
      </c>
      <c r="R4" s="89" t="s">
        <v>93</v>
      </c>
    </row>
    <row r="5" spans="1:18" ht="21">
      <c r="A5" s="102">
        <v>2</v>
      </c>
      <c r="B5" s="103" t="s">
        <v>5</v>
      </c>
      <c r="C5" s="103">
        <v>12</v>
      </c>
      <c r="D5" s="103">
        <v>1</v>
      </c>
      <c r="E5" s="103">
        <v>3</v>
      </c>
      <c r="F5" s="103">
        <v>20</v>
      </c>
      <c r="G5" s="94">
        <f aca="true" t="shared" si="0" ref="G5:G14">SUM(C5:F5)</f>
        <v>36</v>
      </c>
      <c r="H5" s="95" t="str">
        <f aca="true" t="shared" si="1" ref="H5:H18">IF(G5&gt;=80,"A",IF(G5&gt;=75,"B+",IF(G5&gt;=70,"B",IF(G5&gt;=65,"C+",IF(G5&gt;=60,"C",IF(G5&gt;=55,"D+",IF(G5&gt;=50,"D","E")))))))</f>
        <v>E</v>
      </c>
      <c r="I5" s="103" t="str">
        <f>VLOOKUP(G5:G19,$O$3:$Q$10,3)</f>
        <v>จ</v>
      </c>
      <c r="J5" s="103" t="str">
        <f>VLOOKUP(G5:G19,$O$3:$Q$10,2)</f>
        <v>E</v>
      </c>
      <c r="K5" s="104" t="str">
        <f aca="true" t="shared" si="2" ref="K5:K18">IF(G5&gt;=50,"ผ่าน","ไม่ผ่าน")</f>
        <v>ไม่ผ่าน</v>
      </c>
      <c r="L5" s="105" t="str">
        <f>VLOOKUP(G5:G19,$O$3:$R$10,4)</f>
        <v>แย่มาก</v>
      </c>
      <c r="M5" s="106" t="str">
        <f>VLOOKUP(G5:G19,$O$3:$R$10,3)</f>
        <v>จ</v>
      </c>
      <c r="N5" s="107"/>
      <c r="O5" s="88">
        <v>55</v>
      </c>
      <c r="P5" s="88" t="s">
        <v>25</v>
      </c>
      <c r="Q5" s="88" t="s">
        <v>33</v>
      </c>
      <c r="R5" s="89" t="s">
        <v>94</v>
      </c>
    </row>
    <row r="6" spans="1:18" ht="21">
      <c r="A6" s="102">
        <v>3</v>
      </c>
      <c r="B6" s="103" t="s">
        <v>6</v>
      </c>
      <c r="C6" s="103">
        <v>15</v>
      </c>
      <c r="D6" s="103">
        <v>10</v>
      </c>
      <c r="E6" s="103">
        <v>5</v>
      </c>
      <c r="F6" s="103">
        <v>25</v>
      </c>
      <c r="G6" s="94">
        <f t="shared" si="0"/>
        <v>55</v>
      </c>
      <c r="H6" s="95" t="str">
        <f t="shared" si="1"/>
        <v>D+</v>
      </c>
      <c r="I6" s="103" t="str">
        <f>VLOOKUP(G6:G20,$O$3:$Q$10,3)</f>
        <v>ง+</v>
      </c>
      <c r="J6" s="103" t="str">
        <f>VLOOKUP(G6:G20,$O$3:$Q$10,2)</f>
        <v>D+</v>
      </c>
      <c r="K6" s="108" t="str">
        <f t="shared" si="2"/>
        <v>ผ่าน</v>
      </c>
      <c r="L6" s="105" t="str">
        <f>VLOOKUP(G6:G20,$O$3:$R$10,4)</f>
        <v>อ่อน</v>
      </c>
      <c r="M6" s="106" t="str">
        <f>VLOOKUP(G6:G20,$O$3:$R$10,3)</f>
        <v>ง+</v>
      </c>
      <c r="N6" s="107"/>
      <c r="O6" s="88">
        <v>60</v>
      </c>
      <c r="P6" s="88" t="s">
        <v>24</v>
      </c>
      <c r="Q6" s="88" t="s">
        <v>32</v>
      </c>
      <c r="R6" s="89" t="s">
        <v>95</v>
      </c>
    </row>
    <row r="7" spans="1:18" ht="21">
      <c r="A7" s="102">
        <v>4</v>
      </c>
      <c r="B7" s="103" t="s">
        <v>7</v>
      </c>
      <c r="C7" s="103">
        <v>8</v>
      </c>
      <c r="D7" s="103">
        <v>10</v>
      </c>
      <c r="E7" s="103">
        <v>12</v>
      </c>
      <c r="F7" s="103">
        <v>20</v>
      </c>
      <c r="G7" s="94">
        <f t="shared" si="0"/>
        <v>50</v>
      </c>
      <c r="H7" s="95" t="str">
        <f t="shared" si="1"/>
        <v>D</v>
      </c>
      <c r="I7" s="103" t="str">
        <f>VLOOKUP(G7:G21,$O$3:$Q$10,3)</f>
        <v>ง</v>
      </c>
      <c r="J7" s="103" t="str">
        <f>VLOOKUP(G7:G21,$O$3:$Q$10,2)</f>
        <v>D</v>
      </c>
      <c r="K7" s="108" t="str">
        <f t="shared" si="2"/>
        <v>ผ่าน</v>
      </c>
      <c r="L7" s="105" t="str">
        <f>VLOOKUP(G7:G21,$O$3:$R$10,4)</f>
        <v>แย่</v>
      </c>
      <c r="M7" s="106" t="str">
        <f>VLOOKUP(G7:G21,$O$3:$R$10,3)</f>
        <v>ง</v>
      </c>
      <c r="N7" s="107"/>
      <c r="O7" s="88">
        <v>65</v>
      </c>
      <c r="P7" s="88" t="s">
        <v>23</v>
      </c>
      <c r="Q7" s="88" t="s">
        <v>31</v>
      </c>
      <c r="R7" s="89" t="s">
        <v>125</v>
      </c>
    </row>
    <row r="8" spans="1:18" ht="21">
      <c r="A8" s="102">
        <v>5</v>
      </c>
      <c r="B8" s="103" t="s">
        <v>8</v>
      </c>
      <c r="C8" s="103">
        <v>14</v>
      </c>
      <c r="D8" s="103">
        <v>10</v>
      </c>
      <c r="E8" s="103">
        <v>5</v>
      </c>
      <c r="F8" s="103">
        <v>24</v>
      </c>
      <c r="G8" s="94">
        <f t="shared" si="0"/>
        <v>53</v>
      </c>
      <c r="H8" s="95" t="str">
        <f t="shared" si="1"/>
        <v>D</v>
      </c>
      <c r="I8" s="103" t="str">
        <f>VLOOKUP(G8:G23,$O$3:$Q$10,3)</f>
        <v>ง</v>
      </c>
      <c r="J8" s="103" t="str">
        <f>VLOOKUP(G8:G23,$O$3:$Q$10,2)</f>
        <v>D</v>
      </c>
      <c r="K8" s="108" t="str">
        <f t="shared" si="2"/>
        <v>ผ่าน</v>
      </c>
      <c r="L8" s="105" t="str">
        <f>VLOOKUP(G8:G23,$O$3:$R$10,4)</f>
        <v>แย่</v>
      </c>
      <c r="M8" s="106" t="str">
        <f>VLOOKUP(G8:G23,$O$3:$R$10,3)</f>
        <v>ง</v>
      </c>
      <c r="N8" s="107"/>
      <c r="O8" s="88">
        <v>70</v>
      </c>
      <c r="P8" s="88" t="s">
        <v>22</v>
      </c>
      <c r="Q8" s="88" t="s">
        <v>30</v>
      </c>
      <c r="R8" s="89" t="s">
        <v>98</v>
      </c>
    </row>
    <row r="9" spans="1:21" ht="21">
      <c r="A9" s="102">
        <v>6</v>
      </c>
      <c r="B9" s="103" t="s">
        <v>9</v>
      </c>
      <c r="C9" s="103">
        <v>13</v>
      </c>
      <c r="D9" s="103">
        <v>15</v>
      </c>
      <c r="E9" s="103">
        <v>16</v>
      </c>
      <c r="F9" s="103">
        <v>20</v>
      </c>
      <c r="G9" s="94">
        <f t="shared" si="0"/>
        <v>64</v>
      </c>
      <c r="H9" s="95" t="str">
        <f t="shared" si="1"/>
        <v>C</v>
      </c>
      <c r="I9" s="103" t="str">
        <f>VLOOKUP(G9:G23,$O$3:$Q$10,3)</f>
        <v>ค</v>
      </c>
      <c r="J9" s="103" t="str">
        <f>VLOOKUP(G9:G23,$O$3:$Q$10,2)</f>
        <v>C</v>
      </c>
      <c r="K9" s="108" t="str">
        <f t="shared" si="2"/>
        <v>ผ่าน</v>
      </c>
      <c r="L9" s="105" t="str">
        <f>VLOOKUP(G9:G23,$O$3:$R$10,4)</f>
        <v>พอใช้</v>
      </c>
      <c r="M9" s="106" t="str">
        <f>VLOOKUP(G9:G23,$O$3:$R$10,3)</f>
        <v>ค</v>
      </c>
      <c r="N9" s="107"/>
      <c r="O9" s="88">
        <v>75</v>
      </c>
      <c r="P9" s="88" t="s">
        <v>21</v>
      </c>
      <c r="Q9" s="88" t="s">
        <v>29</v>
      </c>
      <c r="R9" s="89" t="s">
        <v>97</v>
      </c>
      <c r="T9" s="109"/>
      <c r="U9" s="29"/>
    </row>
    <row r="10" spans="1:21" ht="21">
      <c r="A10" s="102">
        <v>7</v>
      </c>
      <c r="B10" s="103" t="s">
        <v>10</v>
      </c>
      <c r="C10" s="103">
        <v>10</v>
      </c>
      <c r="D10" s="103">
        <v>12</v>
      </c>
      <c r="E10" s="103">
        <v>14</v>
      </c>
      <c r="F10" s="103">
        <v>26</v>
      </c>
      <c r="G10" s="94">
        <f t="shared" si="0"/>
        <v>62</v>
      </c>
      <c r="H10" s="95" t="str">
        <f t="shared" si="1"/>
        <v>C</v>
      </c>
      <c r="I10" s="103" t="str">
        <f>VLOOKUP(G10:G23,$O$3:$Q$10,3)</f>
        <v>ค</v>
      </c>
      <c r="J10" s="103" t="str">
        <f>VLOOKUP(G10:G23,$O$3:$Q$10,2)</f>
        <v>C</v>
      </c>
      <c r="K10" s="108" t="str">
        <f t="shared" si="2"/>
        <v>ผ่าน</v>
      </c>
      <c r="L10" s="105" t="str">
        <f>VLOOKUP(G10:G23,$O$3:$R$10,4)</f>
        <v>พอใช้</v>
      </c>
      <c r="M10" s="106" t="str">
        <f>VLOOKUP(G10:G23,$O$3:$R$10,3)</f>
        <v>ค</v>
      </c>
      <c r="N10" s="107"/>
      <c r="O10" s="88">
        <v>80</v>
      </c>
      <c r="P10" s="88" t="s">
        <v>20</v>
      </c>
      <c r="Q10" s="88" t="s">
        <v>28</v>
      </c>
      <c r="R10" s="89" t="s">
        <v>96</v>
      </c>
      <c r="T10" s="110"/>
      <c r="U10" s="111"/>
    </row>
    <row r="11" spans="1:21" ht="21">
      <c r="A11" s="102">
        <v>8</v>
      </c>
      <c r="B11" s="103" t="s">
        <v>11</v>
      </c>
      <c r="C11" s="103">
        <v>10</v>
      </c>
      <c r="D11" s="103">
        <v>13</v>
      </c>
      <c r="E11" s="103">
        <v>10</v>
      </c>
      <c r="F11" s="103">
        <v>25</v>
      </c>
      <c r="G11" s="94">
        <f t="shared" si="0"/>
        <v>58</v>
      </c>
      <c r="H11" s="95" t="str">
        <f t="shared" si="1"/>
        <v>D+</v>
      </c>
      <c r="I11" s="103" t="str">
        <f>VLOOKUP(G11:G23,$O$3:$Q$10,3)</f>
        <v>ง+</v>
      </c>
      <c r="J11" s="103" t="str">
        <f>VLOOKUP(G11:G23,$O$3:$Q$10,2)</f>
        <v>D+</v>
      </c>
      <c r="K11" s="108" t="str">
        <f t="shared" si="2"/>
        <v>ผ่าน</v>
      </c>
      <c r="L11" s="105" t="str">
        <f>VLOOKUP(G11:G23,$O$3:$R$10,4)</f>
        <v>อ่อน</v>
      </c>
      <c r="M11" s="106" t="str">
        <f>VLOOKUP(G11:G23,$O$3:$R$10,3)</f>
        <v>ง+</v>
      </c>
      <c r="N11" s="107"/>
      <c r="O11" s="29"/>
      <c r="P11" s="29"/>
      <c r="Q11" s="29"/>
      <c r="S11" s="29"/>
      <c r="T11" s="109"/>
      <c r="U11" s="29"/>
    </row>
    <row r="12" spans="1:21" ht="21.75" thickBot="1">
      <c r="A12" s="102">
        <v>9</v>
      </c>
      <c r="B12" s="103" t="s">
        <v>12</v>
      </c>
      <c r="C12" s="103">
        <v>10</v>
      </c>
      <c r="D12" s="103">
        <v>15</v>
      </c>
      <c r="E12" s="103">
        <v>12</v>
      </c>
      <c r="F12" s="103">
        <v>23</v>
      </c>
      <c r="G12" s="94">
        <f t="shared" si="0"/>
        <v>60</v>
      </c>
      <c r="H12" s="95" t="str">
        <f t="shared" si="1"/>
        <v>C</v>
      </c>
      <c r="I12" s="103" t="str">
        <f>VLOOKUP(G12:G23,$O$3:$Q$10,3)</f>
        <v>ค</v>
      </c>
      <c r="J12" s="103" t="str">
        <f>VLOOKUP(G12:G23,$O$3:$Q$10,2)</f>
        <v>C</v>
      </c>
      <c r="K12" s="108" t="str">
        <f t="shared" si="2"/>
        <v>ผ่าน</v>
      </c>
      <c r="L12" s="105" t="str">
        <f>VLOOKUP(G12:G23,$O$3:$R$10,4)</f>
        <v>พอใช้</v>
      </c>
      <c r="M12" s="106" t="str">
        <f>VLOOKUP(G12:G23,$O$3:$R$10,3)</f>
        <v>ค</v>
      </c>
      <c r="N12" s="107"/>
      <c r="O12" s="29" t="s">
        <v>148</v>
      </c>
      <c r="P12" s="29"/>
      <c r="Q12" s="29"/>
      <c r="S12" s="109"/>
      <c r="T12" s="109"/>
      <c r="U12" s="29"/>
    </row>
    <row r="13" spans="1:19" ht="21">
      <c r="A13" s="102">
        <v>10</v>
      </c>
      <c r="B13" s="103" t="s">
        <v>13</v>
      </c>
      <c r="C13" s="103">
        <v>15</v>
      </c>
      <c r="D13" s="103">
        <v>14</v>
      </c>
      <c r="E13" s="103">
        <v>13</v>
      </c>
      <c r="F13" s="103">
        <v>24</v>
      </c>
      <c r="G13" s="94">
        <f t="shared" si="0"/>
        <v>66</v>
      </c>
      <c r="H13" s="95" t="str">
        <f t="shared" si="1"/>
        <v>C+</v>
      </c>
      <c r="I13" s="103" t="str">
        <f>VLOOKUP(G13:G23,$O$3:$Q$10,3)</f>
        <v>ค+</v>
      </c>
      <c r="J13" s="103" t="str">
        <f>VLOOKUP(G13:G23,$O$3:$Q$10,2)</f>
        <v>C+</v>
      </c>
      <c r="K13" s="108" t="str">
        <f t="shared" si="2"/>
        <v>ผ่าน</v>
      </c>
      <c r="L13" s="105" t="str">
        <f>VLOOKUP(G13:G23,$O$3:$R$10,4)</f>
        <v>ค่อนข้างพอใช้</v>
      </c>
      <c r="M13" s="106" t="str">
        <f>VLOOKUP(G13:G23,$O$3:$R$10,3)</f>
        <v>ค+</v>
      </c>
      <c r="N13" s="107"/>
      <c r="O13" s="90" t="s">
        <v>124</v>
      </c>
      <c r="P13" s="91" t="s">
        <v>27</v>
      </c>
      <c r="S13" s="109"/>
    </row>
    <row r="14" spans="1:19" ht="21">
      <c r="A14" s="102">
        <v>11</v>
      </c>
      <c r="B14" s="103" t="s">
        <v>14</v>
      </c>
      <c r="C14" s="103">
        <v>12</v>
      </c>
      <c r="D14" s="103">
        <v>13</v>
      </c>
      <c r="E14" s="103">
        <v>5</v>
      </c>
      <c r="F14" s="103">
        <v>15</v>
      </c>
      <c r="G14" s="94">
        <f t="shared" si="0"/>
        <v>45</v>
      </c>
      <c r="H14" s="95" t="str">
        <f t="shared" si="1"/>
        <v>E</v>
      </c>
      <c r="I14" s="103" t="str">
        <f>VLOOKUP(G14:G23,$O$3:$Q$10,3)</f>
        <v>จ</v>
      </c>
      <c r="J14" s="103" t="str">
        <f>VLOOKUP(G14:G23,$O$3:$Q$10,2)</f>
        <v>E</v>
      </c>
      <c r="K14" s="104" t="str">
        <f t="shared" si="2"/>
        <v>ไม่ผ่าน</v>
      </c>
      <c r="L14" s="105" t="str">
        <f>VLOOKUP(G14:G23,$O$3:$R$10,4)</f>
        <v>แย่มาก</v>
      </c>
      <c r="M14" s="106" t="str">
        <f>VLOOKUP(G14:G23,$O$3:$R$10,3)</f>
        <v>จ</v>
      </c>
      <c r="N14" s="107"/>
      <c r="O14" s="100" t="s">
        <v>85</v>
      </c>
      <c r="P14" s="101" t="s">
        <v>26</v>
      </c>
      <c r="S14" s="109"/>
    </row>
    <row r="15" spans="1:19" ht="21">
      <c r="A15" s="102">
        <v>12</v>
      </c>
      <c r="B15" s="103" t="s">
        <v>15</v>
      </c>
      <c r="C15" s="103">
        <v>12</v>
      </c>
      <c r="D15" s="103">
        <v>10</v>
      </c>
      <c r="E15" s="103">
        <v>6</v>
      </c>
      <c r="F15" s="103">
        <v>20</v>
      </c>
      <c r="G15" s="114">
        <f>C15+D15+E15+F15</f>
        <v>48</v>
      </c>
      <c r="H15" s="95" t="str">
        <f t="shared" si="1"/>
        <v>E</v>
      </c>
      <c r="I15" s="103" t="str">
        <f>VLOOKUP(G15:G32,$O$3:$Q$10,3)</f>
        <v>จ</v>
      </c>
      <c r="J15" s="103" t="str">
        <f>VLOOKUP(G15:G32,$O$3:$Q$10,2)</f>
        <v>E</v>
      </c>
      <c r="K15" s="104" t="str">
        <f t="shared" si="2"/>
        <v>ไม่ผ่าน</v>
      </c>
      <c r="L15" s="105" t="str">
        <f>VLOOKUP(G15:G32,$O$3:$R$10,4)</f>
        <v>แย่มาก</v>
      </c>
      <c r="M15" s="106" t="str">
        <f>VLOOKUP(G15:G32,$O$3:$R$10,3)</f>
        <v>จ</v>
      </c>
      <c r="N15" s="107"/>
      <c r="O15" s="100" t="s">
        <v>84</v>
      </c>
      <c r="P15" s="101" t="s">
        <v>25</v>
      </c>
      <c r="S15" s="109"/>
    </row>
    <row r="16" spans="1:19" ht="21">
      <c r="A16" s="102">
        <v>13</v>
      </c>
      <c r="B16" s="103" t="s">
        <v>16</v>
      </c>
      <c r="C16" s="103">
        <v>13</v>
      </c>
      <c r="D16" s="103">
        <v>15</v>
      </c>
      <c r="E16" s="103">
        <v>12</v>
      </c>
      <c r="F16" s="103">
        <v>23</v>
      </c>
      <c r="G16" s="114">
        <f>C16+D16+E16+F16</f>
        <v>63</v>
      </c>
      <c r="H16" s="95" t="str">
        <f t="shared" si="1"/>
        <v>C</v>
      </c>
      <c r="I16" s="103" t="str">
        <f>VLOOKUP(G16:G33,$O$3:$Q$10,3)</f>
        <v>ค</v>
      </c>
      <c r="J16" s="103" t="str">
        <f>VLOOKUP(G16:G33,$O$3:$Q$10,2)</f>
        <v>C</v>
      </c>
      <c r="K16" s="108" t="str">
        <f t="shared" si="2"/>
        <v>ผ่าน</v>
      </c>
      <c r="L16" s="105" t="str">
        <f>VLOOKUP(G16:G33,$O$3:$R$10,4)</f>
        <v>พอใช้</v>
      </c>
      <c r="M16" s="106" t="str">
        <f>VLOOKUP(G16:G33,$O$3:$R$10,3)</f>
        <v>ค</v>
      </c>
      <c r="N16" s="107"/>
      <c r="O16" s="100" t="s">
        <v>83</v>
      </c>
      <c r="P16" s="101" t="s">
        <v>24</v>
      </c>
      <c r="S16" s="109"/>
    </row>
    <row r="17" spans="1:19" ht="21">
      <c r="A17" s="102">
        <v>14</v>
      </c>
      <c r="B17" s="103" t="s">
        <v>17</v>
      </c>
      <c r="C17" s="103">
        <v>15</v>
      </c>
      <c r="D17" s="103">
        <v>10</v>
      </c>
      <c r="E17" s="103">
        <v>10</v>
      </c>
      <c r="F17" s="103">
        <v>25</v>
      </c>
      <c r="G17" s="114">
        <f>C17+D17+E17+F17</f>
        <v>60</v>
      </c>
      <c r="H17" s="95" t="str">
        <f t="shared" si="1"/>
        <v>C</v>
      </c>
      <c r="I17" s="103" t="str">
        <f>VLOOKUP(G17:G34,$O$3:$Q$10,3)</f>
        <v>ค</v>
      </c>
      <c r="J17" s="103" t="str">
        <f>VLOOKUP(G17:G34,$O$3:$Q$10,2)</f>
        <v>C</v>
      </c>
      <c r="K17" s="108" t="str">
        <f t="shared" si="2"/>
        <v>ผ่าน</v>
      </c>
      <c r="L17" s="105" t="str">
        <f>VLOOKUP(G17:G34,$O$3:$R$10,4)</f>
        <v>พอใช้</v>
      </c>
      <c r="M17" s="106" t="str">
        <f>VLOOKUP(G17:G34,$O$3:$R$10,3)</f>
        <v>ค</v>
      </c>
      <c r="N17" s="107"/>
      <c r="O17" s="100" t="s">
        <v>82</v>
      </c>
      <c r="P17" s="101" t="s">
        <v>23</v>
      </c>
      <c r="S17" s="109"/>
    </row>
    <row r="18" spans="1:19" ht="21.75" thickBot="1">
      <c r="A18" s="115">
        <v>15</v>
      </c>
      <c r="B18" s="116" t="s">
        <v>18</v>
      </c>
      <c r="C18" s="116">
        <v>10</v>
      </c>
      <c r="D18" s="116">
        <v>12</v>
      </c>
      <c r="E18" s="116">
        <v>15</v>
      </c>
      <c r="F18" s="116">
        <v>25</v>
      </c>
      <c r="G18" s="117">
        <f>C18+D18+E18+F18</f>
        <v>62</v>
      </c>
      <c r="H18" s="118" t="str">
        <f t="shared" si="1"/>
        <v>C</v>
      </c>
      <c r="I18" s="116" t="str">
        <f>VLOOKUP(G18:G35,$O$3:$Q$10,3)</f>
        <v>ค</v>
      </c>
      <c r="J18" s="116" t="str">
        <f>VLOOKUP(G18:G35,$O$3:$Q$10,2)</f>
        <v>C</v>
      </c>
      <c r="K18" s="119" t="str">
        <f t="shared" si="2"/>
        <v>ผ่าน</v>
      </c>
      <c r="L18" s="120" t="str">
        <f>VLOOKUP(G18:G35,$O$3:$R$10,4)</f>
        <v>พอใช้</v>
      </c>
      <c r="M18" s="121" t="str">
        <f>VLOOKUP(G18:G35,$O$3:$R$10,3)</f>
        <v>ค</v>
      </c>
      <c r="N18" s="107"/>
      <c r="O18" s="100" t="s">
        <v>81</v>
      </c>
      <c r="P18" s="101" t="s">
        <v>22</v>
      </c>
      <c r="S18" s="109"/>
    </row>
    <row r="19" spans="4:19" ht="21">
      <c r="D19" s="30" t="s">
        <v>76</v>
      </c>
      <c r="G19" s="30">
        <f>MAX(G4:G18)</f>
        <v>66</v>
      </c>
      <c r="I19" s="30" t="str">
        <f>VLOOKUP(G19:G36,$O$3:$Q$10,3)</f>
        <v>ค+</v>
      </c>
      <c r="J19" s="30" t="str">
        <f>VLOOKUP(G19:G36,$O$3:$Q$10,2)</f>
        <v>C+</v>
      </c>
      <c r="O19" s="100" t="s">
        <v>80</v>
      </c>
      <c r="P19" s="101" t="s">
        <v>21</v>
      </c>
      <c r="S19" s="109"/>
    </row>
    <row r="20" spans="4:16" ht="21.75" thickBot="1">
      <c r="D20" s="30" t="s">
        <v>77</v>
      </c>
      <c r="G20" s="30">
        <f>MIN(G5:G19)</f>
        <v>36</v>
      </c>
      <c r="O20" s="112" t="s">
        <v>79</v>
      </c>
      <c r="P20" s="113" t="s">
        <v>20</v>
      </c>
    </row>
    <row r="21" spans="4:7" ht="21">
      <c r="D21" s="30" t="s">
        <v>78</v>
      </c>
      <c r="G21" s="30">
        <f>AVERAGE(G6:G20)</f>
        <v>56.53333333333333</v>
      </c>
    </row>
    <row r="24" ht="21.75" thickBot="1">
      <c r="A24" s="123" t="s">
        <v>109</v>
      </c>
    </row>
    <row r="25" spans="1:8" ht="21.75" thickTop="1">
      <c r="A25" s="30"/>
      <c r="B25" s="107" t="s">
        <v>72</v>
      </c>
      <c r="F25" s="21"/>
      <c r="H25" s="30"/>
    </row>
    <row r="26" spans="1:8" ht="21">
      <c r="A26" s="30"/>
      <c r="B26" s="30" t="s">
        <v>73</v>
      </c>
      <c r="F26" s="21"/>
      <c r="H26" s="30"/>
    </row>
    <row r="27" spans="1:8" ht="21">
      <c r="A27" s="30"/>
      <c r="F27" s="21"/>
      <c r="H27" s="30"/>
    </row>
    <row r="28" spans="1:8" ht="21">
      <c r="A28" s="30" t="s">
        <v>74</v>
      </c>
      <c r="F28" s="30">
        <v>20</v>
      </c>
      <c r="G28" s="30">
        <v>10</v>
      </c>
      <c r="H28" s="30"/>
    </row>
    <row r="29" spans="1:7" ht="21">
      <c r="A29" s="30"/>
      <c r="B29" s="107" t="s">
        <v>110</v>
      </c>
      <c r="F29" s="21"/>
      <c r="G29" s="30">
        <v>10</v>
      </c>
    </row>
    <row r="30" spans="1:8" ht="21">
      <c r="A30" s="124" t="s">
        <v>111</v>
      </c>
      <c r="F30" s="21" t="str">
        <f>IF(G29&gt;=50,"ผ่าน","ไม่ผ่าน")</f>
        <v>ไม่ผ่าน</v>
      </c>
      <c r="H30" s="30"/>
    </row>
    <row r="31" spans="1:8" ht="21">
      <c r="A31" s="30"/>
      <c r="B31" s="107" t="s">
        <v>75</v>
      </c>
      <c r="F31" s="21"/>
      <c r="G31" s="30">
        <f>IF(G29&gt;=50,G29*10%,G29*20%)</f>
        <v>2</v>
      </c>
      <c r="H31" s="30"/>
    </row>
    <row r="32" spans="1:8" ht="21">
      <c r="A32" s="30"/>
      <c r="B32" s="107" t="s">
        <v>86</v>
      </c>
      <c r="F32" s="21"/>
      <c r="H32" s="30"/>
    </row>
    <row r="34" ht="21">
      <c r="A34" s="125" t="s">
        <v>112</v>
      </c>
    </row>
    <row r="35" ht="21">
      <c r="B35" s="30" t="s">
        <v>113</v>
      </c>
    </row>
    <row r="36" ht="21">
      <c r="B36" s="30" t="s">
        <v>114</v>
      </c>
    </row>
    <row r="37" ht="21">
      <c r="B37" s="30" t="s">
        <v>115</v>
      </c>
    </row>
    <row r="38" spans="2:3" ht="21">
      <c r="B38" s="30" t="s">
        <v>116</v>
      </c>
      <c r="C38" s="30" t="s">
        <v>120</v>
      </c>
    </row>
    <row r="39" spans="2:3" ht="21">
      <c r="B39" s="30" t="s">
        <v>117</v>
      </c>
      <c r="C39" s="30" t="s">
        <v>121</v>
      </c>
    </row>
    <row r="40" spans="2:3" ht="21">
      <c r="B40" s="30" t="s">
        <v>118</v>
      </c>
      <c r="C40" s="30" t="s">
        <v>122</v>
      </c>
    </row>
    <row r="41" spans="2:3" ht="21">
      <c r="B41" s="30" t="s">
        <v>119</v>
      </c>
      <c r="C41" s="30" t="s">
        <v>123</v>
      </c>
    </row>
    <row r="42" ht="21">
      <c r="B42" s="124" t="s">
        <v>74</v>
      </c>
    </row>
    <row r="43" ht="21">
      <c r="B43" s="30" t="s">
        <v>126</v>
      </c>
    </row>
    <row r="44" ht="21">
      <c r="B44" s="30" t="s">
        <v>127</v>
      </c>
    </row>
  </sheetData>
  <sheetProtection/>
  <mergeCells count="12">
    <mergeCell ref="K2:K3"/>
    <mergeCell ref="L2:L3"/>
    <mergeCell ref="M2:M3"/>
    <mergeCell ref="A1:J1"/>
    <mergeCell ref="C2:E2"/>
    <mergeCell ref="A2:A3"/>
    <mergeCell ref="B2:B3"/>
    <mergeCell ref="F2:F3"/>
    <mergeCell ref="G2:G3"/>
    <mergeCell ref="H2:H3"/>
    <mergeCell ref="I2:I3"/>
    <mergeCell ref="J2:J3"/>
  </mergeCells>
  <printOptions/>
  <pageMargins left="0.29" right="0.49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6">
      <selection activeCell="D8" sqref="D8:I8"/>
    </sheetView>
  </sheetViews>
  <sheetFormatPr defaultColWidth="9.140625" defaultRowHeight="21.75"/>
  <cols>
    <col min="1" max="1" width="8.7109375" style="0" bestFit="1" customWidth="1"/>
    <col min="2" max="2" width="14.8515625" style="0" customWidth="1"/>
    <col min="3" max="4" width="9.28125" style="0" bestFit="1" customWidth="1"/>
    <col min="5" max="5" width="12.00390625" style="0" customWidth="1"/>
    <col min="6" max="6" width="12.28125" style="0" customWidth="1"/>
    <col min="7" max="7" width="12.140625" style="0" customWidth="1"/>
    <col min="8" max="9" width="9.28125" style="0" bestFit="1" customWidth="1"/>
  </cols>
  <sheetData>
    <row r="1" spans="1:8" s="30" customFormat="1" ht="26.25">
      <c r="A1" s="10" t="s">
        <v>103</v>
      </c>
      <c r="B1" s="10"/>
      <c r="C1" s="10"/>
      <c r="D1" s="10"/>
      <c r="E1" s="10"/>
      <c r="F1" s="10"/>
      <c r="G1" s="10"/>
      <c r="H1" s="10"/>
    </row>
    <row r="2" spans="1:8" s="30" customFormat="1" ht="26.25">
      <c r="A2" s="10"/>
      <c r="B2" s="10" t="s">
        <v>149</v>
      </c>
      <c r="C2" s="10"/>
      <c r="D2" s="10"/>
      <c r="E2" s="10"/>
      <c r="F2" s="10"/>
      <c r="G2" s="10"/>
      <c r="H2" s="10"/>
    </row>
    <row r="3" spans="1:8" s="30" customFormat="1" ht="26.25">
      <c r="A3" s="10"/>
      <c r="B3" s="10" t="s">
        <v>104</v>
      </c>
      <c r="C3" s="10"/>
      <c r="D3" s="10"/>
      <c r="E3" s="10"/>
      <c r="F3" s="10"/>
      <c r="G3" s="10"/>
      <c r="H3" s="10"/>
    </row>
    <row r="4" spans="1:8" s="30" customFormat="1" ht="26.25">
      <c r="A4" s="10"/>
      <c r="B4" s="10" t="s">
        <v>105</v>
      </c>
      <c r="C4" s="10"/>
      <c r="D4" s="10"/>
      <c r="E4" s="10"/>
      <c r="F4" s="10"/>
      <c r="G4" s="10"/>
      <c r="H4" s="10"/>
    </row>
    <row r="5" spans="1:8" s="30" customFormat="1" ht="26.25">
      <c r="A5" s="10"/>
      <c r="B5" s="10" t="s">
        <v>107</v>
      </c>
      <c r="C5" s="10"/>
      <c r="D5" s="10"/>
      <c r="E5" s="10"/>
      <c r="F5" s="10"/>
      <c r="G5" s="10"/>
      <c r="H5" s="10"/>
    </row>
    <row r="6" spans="1:8" s="30" customFormat="1" ht="26.25">
      <c r="A6" s="10"/>
      <c r="B6" s="10" t="s">
        <v>106</v>
      </c>
      <c r="C6" s="10"/>
      <c r="D6" s="10"/>
      <c r="E6" s="10"/>
      <c r="F6" s="10"/>
      <c r="G6" s="10"/>
      <c r="H6" s="10"/>
    </row>
    <row r="7" spans="1:9" s="20" customFormat="1" ht="23.25">
      <c r="A7" s="203" t="s">
        <v>100</v>
      </c>
      <c r="B7" s="204"/>
      <c r="C7" s="204"/>
      <c r="D7" s="204"/>
      <c r="E7" s="204"/>
      <c r="F7" s="204"/>
      <c r="G7" s="204"/>
      <c r="H7" s="204"/>
      <c r="I7" s="204"/>
    </row>
    <row r="8" spans="1:9" s="21" customFormat="1" ht="42">
      <c r="A8" s="22" t="s">
        <v>0</v>
      </c>
      <c r="B8" s="22" t="s">
        <v>37</v>
      </c>
      <c r="C8" s="22" t="s">
        <v>38</v>
      </c>
      <c r="D8" s="23" t="s">
        <v>49</v>
      </c>
      <c r="E8" s="23" t="s">
        <v>50</v>
      </c>
      <c r="F8" s="24" t="s">
        <v>108</v>
      </c>
      <c r="G8" s="24" t="s">
        <v>101</v>
      </c>
      <c r="H8" s="22" t="s">
        <v>36</v>
      </c>
      <c r="I8" s="22" t="s">
        <v>102</v>
      </c>
    </row>
    <row r="9" spans="1:10" s="30" customFormat="1" ht="21">
      <c r="A9" s="33">
        <v>1</v>
      </c>
      <c r="B9" s="25" t="s">
        <v>39</v>
      </c>
      <c r="C9" s="26">
        <v>500</v>
      </c>
      <c r="D9" s="27">
        <f>C9*0.07</f>
        <v>35</v>
      </c>
      <c r="E9" s="26">
        <f>C9+D9</f>
        <v>535</v>
      </c>
      <c r="F9" s="26" t="str">
        <f>IF(E9&gt;=1000,"17",IF(E9&gt;=500,"15",IF(E9&gt;=100,"3")))</f>
        <v>15</v>
      </c>
      <c r="G9" s="41">
        <f>VLOOKUP(E9,$L$16:$M$19,2)</f>
        <v>0.15</v>
      </c>
      <c r="H9" s="26">
        <f>E9*G9</f>
        <v>80.25</v>
      </c>
      <c r="I9" s="28">
        <f>E9-H9</f>
        <v>454.75</v>
      </c>
      <c r="J9" s="29"/>
    </row>
    <row r="10" spans="1:10" s="30" customFormat="1" ht="21">
      <c r="A10" s="34">
        <v>2</v>
      </c>
      <c r="B10" s="26" t="s">
        <v>40</v>
      </c>
      <c r="C10" s="26">
        <v>145</v>
      </c>
      <c r="D10" s="28">
        <f aca="true" t="shared" si="0" ref="D10:D18">C10*0.07</f>
        <v>10.15</v>
      </c>
      <c r="E10" s="26">
        <f aca="true" t="shared" si="1" ref="E10:E18">C10+D10</f>
        <v>155.15</v>
      </c>
      <c r="F10" s="26" t="str">
        <f>IF(E10&gt;=1000,"17",IF(E10&gt;=500,"15",IF(E10&gt;=100,"3")))</f>
        <v>3</v>
      </c>
      <c r="G10" s="41">
        <f aca="true" t="shared" si="2" ref="G10:G18">VLOOKUP(E10,$L$16:$M$19,2)</f>
        <v>0.03</v>
      </c>
      <c r="H10" s="26">
        <f aca="true" t="shared" si="3" ref="H10:H18">E10*G10</f>
        <v>4.6545</v>
      </c>
      <c r="I10" s="27">
        <f aca="true" t="shared" si="4" ref="I10:I18">E10-H10</f>
        <v>150.4955</v>
      </c>
      <c r="J10" s="31"/>
    </row>
    <row r="11" spans="1:10" s="30" customFormat="1" ht="21">
      <c r="A11" s="34">
        <v>3</v>
      </c>
      <c r="B11" s="26" t="s">
        <v>41</v>
      </c>
      <c r="C11" s="26">
        <v>190</v>
      </c>
      <c r="D11" s="26">
        <f t="shared" si="0"/>
        <v>13.3</v>
      </c>
      <c r="E11" s="26">
        <f t="shared" si="1"/>
        <v>203.3</v>
      </c>
      <c r="F11" s="26" t="str">
        <f>IF(E11&gt;=1000,"17",IF(E11&gt;=500,"15",IF(E11&gt;=100,"3")))</f>
        <v>3</v>
      </c>
      <c r="G11" s="41">
        <f t="shared" si="2"/>
        <v>0.03</v>
      </c>
      <c r="H11" s="26">
        <f t="shared" si="3"/>
        <v>6.099</v>
      </c>
      <c r="I11" s="27">
        <f t="shared" si="4"/>
        <v>197.20100000000002</v>
      </c>
      <c r="J11" s="31"/>
    </row>
    <row r="12" spans="1:14" s="30" customFormat="1" ht="21">
      <c r="A12" s="34">
        <v>4</v>
      </c>
      <c r="B12" s="26" t="s">
        <v>42</v>
      </c>
      <c r="C12" s="26">
        <v>260</v>
      </c>
      <c r="D12" s="26">
        <f t="shared" si="0"/>
        <v>18.200000000000003</v>
      </c>
      <c r="E12" s="26">
        <f t="shared" si="1"/>
        <v>278.2</v>
      </c>
      <c r="F12" s="26" t="str">
        <f>IF(E12&gt;=1000,"17",IF(E12&gt;=500,"15",IF(E12&gt;=100,"3")))</f>
        <v>3</v>
      </c>
      <c r="G12" s="41">
        <f t="shared" si="2"/>
        <v>0.03</v>
      </c>
      <c r="H12" s="26">
        <f t="shared" si="3"/>
        <v>8.346</v>
      </c>
      <c r="I12" s="27">
        <f t="shared" si="4"/>
        <v>269.854</v>
      </c>
      <c r="J12" s="31"/>
      <c r="K12" s="36"/>
      <c r="L12" s="36"/>
      <c r="M12" s="36"/>
      <c r="N12" s="36"/>
    </row>
    <row r="13" spans="1:14" s="30" customFormat="1" ht="21">
      <c r="A13" s="34">
        <v>5</v>
      </c>
      <c r="B13" s="26" t="s">
        <v>43</v>
      </c>
      <c r="C13" s="26">
        <v>100</v>
      </c>
      <c r="D13" s="26">
        <f t="shared" si="0"/>
        <v>7.000000000000001</v>
      </c>
      <c r="E13" s="26">
        <f t="shared" si="1"/>
        <v>107</v>
      </c>
      <c r="F13" s="26" t="str">
        <f aca="true" t="shared" si="5" ref="F13:F18">IF(E13&gt;=1000,"17",IF(E13&gt;=500,"15",IF(E13&gt;=100,"3")))</f>
        <v>3</v>
      </c>
      <c r="G13" s="41">
        <f t="shared" si="2"/>
        <v>0.03</v>
      </c>
      <c r="H13" s="26">
        <f t="shared" si="3"/>
        <v>3.21</v>
      </c>
      <c r="I13" s="27">
        <f t="shared" si="4"/>
        <v>103.79</v>
      </c>
      <c r="J13" s="31"/>
      <c r="K13" s="36"/>
      <c r="L13" s="36"/>
      <c r="M13" s="36"/>
      <c r="N13" s="36"/>
    </row>
    <row r="14" spans="1:14" s="30" customFormat="1" ht="21">
      <c r="A14" s="34">
        <v>6</v>
      </c>
      <c r="B14" s="26" t="s">
        <v>44</v>
      </c>
      <c r="C14" s="26">
        <v>200</v>
      </c>
      <c r="D14" s="26">
        <f t="shared" si="0"/>
        <v>14.000000000000002</v>
      </c>
      <c r="E14" s="26">
        <f t="shared" si="1"/>
        <v>214</v>
      </c>
      <c r="F14" s="26" t="str">
        <f t="shared" si="5"/>
        <v>3</v>
      </c>
      <c r="G14" s="41">
        <f t="shared" si="2"/>
        <v>0.03</v>
      </c>
      <c r="H14" s="26">
        <f t="shared" si="3"/>
        <v>6.42</v>
      </c>
      <c r="I14" s="27">
        <f t="shared" si="4"/>
        <v>207.58</v>
      </c>
      <c r="J14" s="31"/>
      <c r="K14" s="38"/>
      <c r="L14" s="38"/>
      <c r="M14" s="38"/>
      <c r="N14" s="38"/>
    </row>
    <row r="15" spans="1:14" s="30" customFormat="1" ht="21.75" thickBot="1">
      <c r="A15" s="34">
        <v>7</v>
      </c>
      <c r="B15" s="26" t="s">
        <v>45</v>
      </c>
      <c r="C15" s="26">
        <v>300</v>
      </c>
      <c r="D15" s="26">
        <f t="shared" si="0"/>
        <v>21.000000000000004</v>
      </c>
      <c r="E15" s="26">
        <f t="shared" si="1"/>
        <v>321</v>
      </c>
      <c r="F15" s="26" t="str">
        <f t="shared" si="5"/>
        <v>3</v>
      </c>
      <c r="G15" s="41">
        <f t="shared" si="2"/>
        <v>0.03</v>
      </c>
      <c r="H15" s="26">
        <f t="shared" si="3"/>
        <v>9.629999999999999</v>
      </c>
      <c r="I15" s="27">
        <f t="shared" si="4"/>
        <v>311.37</v>
      </c>
      <c r="J15" s="31"/>
      <c r="K15" s="38"/>
      <c r="L15" s="38"/>
      <c r="M15" s="38"/>
      <c r="N15" s="38"/>
    </row>
    <row r="16" spans="1:14" s="30" customFormat="1" ht="21.75" thickBot="1">
      <c r="A16" s="34">
        <v>8</v>
      </c>
      <c r="B16" s="26" t="s">
        <v>46</v>
      </c>
      <c r="C16" s="26">
        <v>250</v>
      </c>
      <c r="D16" s="26">
        <f t="shared" si="0"/>
        <v>17.5</v>
      </c>
      <c r="E16" s="26">
        <f t="shared" si="1"/>
        <v>267.5</v>
      </c>
      <c r="F16" s="26" t="str">
        <f t="shared" si="5"/>
        <v>3</v>
      </c>
      <c r="G16" s="41">
        <f t="shared" si="2"/>
        <v>0.03</v>
      </c>
      <c r="H16" s="26">
        <f t="shared" si="3"/>
        <v>8.025</v>
      </c>
      <c r="I16" s="27">
        <f t="shared" si="4"/>
        <v>259.475</v>
      </c>
      <c r="J16" s="31"/>
      <c r="K16" s="38"/>
      <c r="L16" s="129">
        <v>0</v>
      </c>
      <c r="M16" s="130">
        <v>0</v>
      </c>
      <c r="N16" s="38"/>
    </row>
    <row r="17" spans="1:14" s="30" customFormat="1" ht="21.75" thickBot="1">
      <c r="A17" s="34">
        <v>9</v>
      </c>
      <c r="B17" s="26" t="s">
        <v>47</v>
      </c>
      <c r="C17" s="26">
        <v>1025</v>
      </c>
      <c r="D17" s="26">
        <f t="shared" si="0"/>
        <v>71.75</v>
      </c>
      <c r="E17" s="26">
        <f t="shared" si="1"/>
        <v>1096.75</v>
      </c>
      <c r="F17" s="26" t="str">
        <f t="shared" si="5"/>
        <v>17</v>
      </c>
      <c r="G17" s="41">
        <f t="shared" si="2"/>
        <v>0.17</v>
      </c>
      <c r="H17" s="26">
        <f t="shared" si="3"/>
        <v>186.44750000000002</v>
      </c>
      <c r="I17" s="27">
        <f t="shared" si="4"/>
        <v>910.3025</v>
      </c>
      <c r="J17" s="31"/>
      <c r="K17" s="38"/>
      <c r="L17" s="129">
        <v>100</v>
      </c>
      <c r="M17" s="130">
        <v>0.03</v>
      </c>
      <c r="N17" s="38"/>
    </row>
    <row r="18" spans="1:14" s="30" customFormat="1" ht="21.75" thickBot="1">
      <c r="A18" s="35">
        <v>10</v>
      </c>
      <c r="B18" s="28" t="s">
        <v>48</v>
      </c>
      <c r="C18" s="28">
        <v>2205</v>
      </c>
      <c r="D18" s="28">
        <f t="shared" si="0"/>
        <v>154.35000000000002</v>
      </c>
      <c r="E18" s="28">
        <f t="shared" si="1"/>
        <v>2359.35</v>
      </c>
      <c r="F18" s="28" t="str">
        <f t="shared" si="5"/>
        <v>17</v>
      </c>
      <c r="G18" s="42">
        <f t="shared" si="2"/>
        <v>0.17</v>
      </c>
      <c r="H18" s="28">
        <f t="shared" si="3"/>
        <v>401.0895</v>
      </c>
      <c r="I18" s="28">
        <f t="shared" si="4"/>
        <v>1958.2604999999999</v>
      </c>
      <c r="J18" s="29"/>
      <c r="K18" s="38"/>
      <c r="L18" s="129">
        <v>500</v>
      </c>
      <c r="M18" s="130">
        <v>0.15</v>
      </c>
      <c r="N18" s="38"/>
    </row>
    <row r="19" spans="1:14" ht="22.5" thickBot="1">
      <c r="A19" s="1"/>
      <c r="K19" s="39"/>
      <c r="L19" s="131">
        <v>1000</v>
      </c>
      <c r="M19" s="132">
        <v>0.17</v>
      </c>
      <c r="N19" s="39"/>
    </row>
    <row r="20" spans="11:14" ht="21.75">
      <c r="K20" s="39"/>
      <c r="L20" s="39"/>
      <c r="M20" s="39"/>
      <c r="N20" s="39"/>
    </row>
    <row r="21" spans="11:14" s="32" customFormat="1" ht="27.75">
      <c r="K21" s="37"/>
      <c r="L21" s="37"/>
      <c r="M21" s="37"/>
      <c r="N21" s="37"/>
    </row>
    <row r="22" s="32" customFormat="1" ht="27.75"/>
    <row r="23" s="32" customFormat="1" ht="27.75"/>
    <row r="24" s="32" customFormat="1" ht="27.75"/>
    <row r="25" s="32" customFormat="1" ht="27.75"/>
    <row r="26" s="32" customFormat="1" ht="27.75"/>
  </sheetData>
  <sheetProtection/>
  <mergeCells count="1"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A8" sqref="A8"/>
    </sheetView>
  </sheetViews>
  <sheetFormatPr defaultColWidth="9.140625" defaultRowHeight="21.75"/>
  <cols>
    <col min="1" max="1" width="9.140625" style="45" customWidth="1"/>
    <col min="2" max="2" width="43.140625" style="45" customWidth="1"/>
    <col min="3" max="3" width="20.8515625" style="46" bestFit="1" customWidth="1"/>
    <col min="4" max="4" width="13.421875" style="47" bestFit="1" customWidth="1"/>
    <col min="5" max="5" width="0.13671875" style="45" hidden="1" customWidth="1"/>
    <col min="6" max="6" width="19.7109375" style="45" bestFit="1" customWidth="1"/>
    <col min="7" max="7" width="13.57421875" style="48" bestFit="1" customWidth="1"/>
    <col min="8" max="8" width="20.421875" style="48" bestFit="1" customWidth="1"/>
    <col min="9" max="10" width="9.140625" style="45" customWidth="1"/>
    <col min="11" max="11" width="22.57421875" style="45" bestFit="1" customWidth="1"/>
    <col min="12" max="12" width="9.28125" style="45" bestFit="1" customWidth="1"/>
    <col min="13" max="13" width="16.00390625" style="45" bestFit="1" customWidth="1"/>
    <col min="14" max="16384" width="9.140625" style="45" customWidth="1"/>
  </cols>
  <sheetData>
    <row r="1" ht="26.25">
      <c r="A1" s="45" t="s">
        <v>129</v>
      </c>
    </row>
    <row r="3" spans="2:12" ht="26.25">
      <c r="B3" s="45" t="s">
        <v>130</v>
      </c>
      <c r="C3" s="47">
        <v>0</v>
      </c>
      <c r="K3" s="45" t="s">
        <v>150</v>
      </c>
      <c r="L3" s="47">
        <v>0.3</v>
      </c>
    </row>
    <row r="4" spans="2:12" ht="24" customHeight="1">
      <c r="B4" s="45" t="s">
        <v>131</v>
      </c>
      <c r="C4" s="47">
        <v>0.07</v>
      </c>
      <c r="K4" s="45" t="s">
        <v>151</v>
      </c>
      <c r="L4" s="47">
        <v>0.15</v>
      </c>
    </row>
    <row r="5" spans="2:12" ht="24" customHeight="1">
      <c r="B5" s="45" t="s">
        <v>132</v>
      </c>
      <c r="C5" s="47">
        <v>0.15</v>
      </c>
      <c r="K5" s="45" t="s">
        <v>152</v>
      </c>
      <c r="L5" s="47">
        <v>0.07</v>
      </c>
    </row>
    <row r="6" spans="2:12" ht="26.25">
      <c r="B6" s="45" t="s">
        <v>133</v>
      </c>
      <c r="C6" s="47">
        <v>0.3</v>
      </c>
      <c r="K6" s="45" t="s">
        <v>153</v>
      </c>
      <c r="L6" s="47">
        <v>0</v>
      </c>
    </row>
    <row r="7" spans="1:8" ht="27" thickBot="1">
      <c r="A7" s="205" t="s">
        <v>89</v>
      </c>
      <c r="B7" s="206"/>
      <c r="C7" s="206"/>
      <c r="D7" s="206"/>
      <c r="E7" s="206"/>
      <c r="F7" s="206"/>
      <c r="G7" s="206"/>
      <c r="H7" s="206"/>
    </row>
    <row r="8" spans="1:9" ht="27" thickBot="1">
      <c r="A8" s="49" t="s">
        <v>0</v>
      </c>
      <c r="B8" s="50" t="s">
        <v>1</v>
      </c>
      <c r="C8" s="51" t="s">
        <v>57</v>
      </c>
      <c r="D8" s="52" t="s">
        <v>88</v>
      </c>
      <c r="E8" s="50" t="s">
        <v>58</v>
      </c>
      <c r="F8" s="50" t="s">
        <v>134</v>
      </c>
      <c r="G8" s="53" t="s">
        <v>58</v>
      </c>
      <c r="H8" s="54" t="s">
        <v>59</v>
      </c>
      <c r="I8" s="55"/>
    </row>
    <row r="9" spans="1:9" ht="27" thickBot="1">
      <c r="A9" s="56">
        <v>1</v>
      </c>
      <c r="B9" s="57" t="s">
        <v>4</v>
      </c>
      <c r="C9" s="58">
        <v>50000</v>
      </c>
      <c r="D9" s="59">
        <f>IF(C9&gt;100000,30%,IF(C9&gt;=50001,15%,IF(C9&gt;=10001,7%,0%)))</f>
        <v>0.07</v>
      </c>
      <c r="E9" s="57" t="e">
        <f aca="true" t="shared" si="0" ref="E9:E23">VLOOKUP(C9:C23,$K$11:$K$13,2)</f>
        <v>#REF!</v>
      </c>
      <c r="F9" s="59" t="str">
        <f>VLOOKUP(C9,$K$11:$M$14,3)</f>
        <v>ปานกลาง</v>
      </c>
      <c r="G9" s="60">
        <f>C9*D9</f>
        <v>3500.0000000000005</v>
      </c>
      <c r="H9" s="61">
        <f aca="true" t="shared" si="1" ref="H9:H23">C9-G9</f>
        <v>46500</v>
      </c>
      <c r="I9" s="55"/>
    </row>
    <row r="10" spans="1:9" ht="27" thickBot="1">
      <c r="A10" s="62">
        <v>2</v>
      </c>
      <c r="B10" s="63" t="s">
        <v>5</v>
      </c>
      <c r="C10" s="64">
        <v>10</v>
      </c>
      <c r="D10" s="59">
        <f aca="true" t="shared" si="2" ref="D10:D23">IF(C10&gt;100000,30%,IF(C10&gt;=50001,15%,IF(C10&gt;=10001,7%,0%)))</f>
        <v>0</v>
      </c>
      <c r="E10" s="63" t="e">
        <f t="shared" si="0"/>
        <v>#REF!</v>
      </c>
      <c r="F10" s="59" t="str">
        <f aca="true" t="shared" si="3" ref="F10:F23">VLOOKUP(C10,$K$11:$M$14,3)</f>
        <v>น้อย</v>
      </c>
      <c r="G10" s="60">
        <f>C10*D10</f>
        <v>0</v>
      </c>
      <c r="H10" s="61">
        <f t="shared" si="1"/>
        <v>10</v>
      </c>
      <c r="I10" s="55"/>
    </row>
    <row r="11" spans="1:13" ht="27" thickBot="1">
      <c r="A11" s="56">
        <v>3</v>
      </c>
      <c r="B11" s="57" t="s">
        <v>6</v>
      </c>
      <c r="C11" s="58">
        <v>50000</v>
      </c>
      <c r="D11" s="59">
        <f t="shared" si="2"/>
        <v>0.07</v>
      </c>
      <c r="E11" s="57" t="e">
        <f t="shared" si="0"/>
        <v>#REF!</v>
      </c>
      <c r="F11" s="59" t="str">
        <f t="shared" si="3"/>
        <v>ปานกลาง</v>
      </c>
      <c r="G11" s="60">
        <f>C11*D11</f>
        <v>3500.0000000000005</v>
      </c>
      <c r="H11" s="61">
        <f t="shared" si="1"/>
        <v>46500</v>
      </c>
      <c r="I11" s="55"/>
      <c r="K11" s="65">
        <v>0</v>
      </c>
      <c r="L11" s="66">
        <v>0</v>
      </c>
      <c r="M11" s="65" t="s">
        <v>142</v>
      </c>
    </row>
    <row r="12" spans="1:13" ht="27" thickBot="1">
      <c r="A12" s="56">
        <v>4</v>
      </c>
      <c r="B12" s="57" t="s">
        <v>7</v>
      </c>
      <c r="C12" s="58">
        <v>500000</v>
      </c>
      <c r="D12" s="59">
        <f t="shared" si="2"/>
        <v>0.3</v>
      </c>
      <c r="E12" s="57" t="e">
        <f t="shared" si="0"/>
        <v>#REF!</v>
      </c>
      <c r="F12" s="59" t="str">
        <f t="shared" si="3"/>
        <v>มากที่สุด</v>
      </c>
      <c r="G12" s="60">
        <f aca="true" t="shared" si="4" ref="G12:G23">C12*D12/100</f>
        <v>1500</v>
      </c>
      <c r="H12" s="61">
        <f t="shared" si="1"/>
        <v>498500</v>
      </c>
      <c r="I12" s="55"/>
      <c r="K12" s="65">
        <v>10001</v>
      </c>
      <c r="L12" s="66">
        <v>0.07</v>
      </c>
      <c r="M12" s="65" t="s">
        <v>98</v>
      </c>
    </row>
    <row r="13" spans="1:13" ht="27" thickBot="1">
      <c r="A13" s="56">
        <v>5</v>
      </c>
      <c r="B13" s="57" t="s">
        <v>8</v>
      </c>
      <c r="C13" s="58">
        <v>50000</v>
      </c>
      <c r="D13" s="59">
        <f t="shared" si="2"/>
        <v>0.07</v>
      </c>
      <c r="E13" s="57" t="e">
        <f t="shared" si="0"/>
        <v>#REF!</v>
      </c>
      <c r="F13" s="59" t="str">
        <f t="shared" si="3"/>
        <v>ปานกลาง</v>
      </c>
      <c r="G13" s="60">
        <f t="shared" si="4"/>
        <v>35.00000000000001</v>
      </c>
      <c r="H13" s="61">
        <f t="shared" si="1"/>
        <v>49965</v>
      </c>
      <c r="I13" s="55"/>
      <c r="K13" s="65">
        <v>50001</v>
      </c>
      <c r="L13" s="66">
        <v>0.15</v>
      </c>
      <c r="M13" s="65" t="s">
        <v>144</v>
      </c>
    </row>
    <row r="14" spans="1:13" ht="27" thickBot="1">
      <c r="A14" s="56">
        <v>6</v>
      </c>
      <c r="B14" s="57" t="s">
        <v>9</v>
      </c>
      <c r="C14" s="58">
        <v>10001</v>
      </c>
      <c r="D14" s="59">
        <f t="shared" si="2"/>
        <v>0.07</v>
      </c>
      <c r="E14" s="57" t="e">
        <f t="shared" si="0"/>
        <v>#REF!</v>
      </c>
      <c r="F14" s="59" t="str">
        <f t="shared" si="3"/>
        <v>ปานกลาง</v>
      </c>
      <c r="G14" s="60">
        <f t="shared" si="4"/>
        <v>7.0007</v>
      </c>
      <c r="H14" s="61">
        <f t="shared" si="1"/>
        <v>9993.9993</v>
      </c>
      <c r="I14" s="55"/>
      <c r="K14" s="65">
        <v>100001</v>
      </c>
      <c r="L14" s="66">
        <v>0.3</v>
      </c>
      <c r="M14" s="65" t="s">
        <v>143</v>
      </c>
    </row>
    <row r="15" spans="1:9" ht="27" thickBot="1">
      <c r="A15" s="56">
        <v>7</v>
      </c>
      <c r="B15" s="57" t="s">
        <v>10</v>
      </c>
      <c r="C15" s="58">
        <v>4500</v>
      </c>
      <c r="D15" s="59">
        <f t="shared" si="2"/>
        <v>0</v>
      </c>
      <c r="E15" s="57" t="e">
        <f t="shared" si="0"/>
        <v>#REF!</v>
      </c>
      <c r="F15" s="59" t="str">
        <f t="shared" si="3"/>
        <v>น้อย</v>
      </c>
      <c r="G15" s="60">
        <f t="shared" si="4"/>
        <v>0</v>
      </c>
      <c r="H15" s="61">
        <f t="shared" si="1"/>
        <v>4500</v>
      </c>
      <c r="I15" s="55"/>
    </row>
    <row r="16" spans="1:9" ht="27" thickBot="1">
      <c r="A16" s="62">
        <v>8</v>
      </c>
      <c r="B16" s="63" t="s">
        <v>11</v>
      </c>
      <c r="C16" s="64">
        <v>500000</v>
      </c>
      <c r="D16" s="59">
        <f t="shared" si="2"/>
        <v>0.3</v>
      </c>
      <c r="E16" s="63" t="e">
        <f t="shared" si="0"/>
        <v>#REF!</v>
      </c>
      <c r="F16" s="59" t="str">
        <f t="shared" si="3"/>
        <v>มากที่สุด</v>
      </c>
      <c r="G16" s="67">
        <f t="shared" si="4"/>
        <v>1500</v>
      </c>
      <c r="H16" s="68">
        <f t="shared" si="1"/>
        <v>498500</v>
      </c>
      <c r="I16" s="55"/>
    </row>
    <row r="17" spans="1:9" ht="27" thickBot="1">
      <c r="A17" s="56">
        <v>9</v>
      </c>
      <c r="B17" s="57" t="s">
        <v>12</v>
      </c>
      <c r="C17" s="58">
        <v>100000</v>
      </c>
      <c r="D17" s="59">
        <f t="shared" si="2"/>
        <v>0.15</v>
      </c>
      <c r="E17" s="57" t="e">
        <f t="shared" si="0"/>
        <v>#REF!</v>
      </c>
      <c r="F17" s="59" t="str">
        <f t="shared" si="3"/>
        <v>มาก</v>
      </c>
      <c r="G17" s="60">
        <f t="shared" si="4"/>
        <v>150</v>
      </c>
      <c r="H17" s="61">
        <f t="shared" si="1"/>
        <v>99850</v>
      </c>
      <c r="I17" s="55"/>
    </row>
    <row r="18" spans="1:9" ht="27" thickBot="1">
      <c r="A18" s="56">
        <v>10</v>
      </c>
      <c r="B18" s="57" t="s">
        <v>13</v>
      </c>
      <c r="C18" s="58">
        <v>2222</v>
      </c>
      <c r="D18" s="59">
        <f t="shared" si="2"/>
        <v>0</v>
      </c>
      <c r="E18" s="57" t="e">
        <f t="shared" si="0"/>
        <v>#REF!</v>
      </c>
      <c r="F18" s="59" t="str">
        <f t="shared" si="3"/>
        <v>น้อย</v>
      </c>
      <c r="G18" s="60">
        <f t="shared" si="4"/>
        <v>0</v>
      </c>
      <c r="H18" s="61">
        <f t="shared" si="1"/>
        <v>2222</v>
      </c>
      <c r="I18" s="55"/>
    </row>
    <row r="19" spans="1:11" ht="27" thickBot="1">
      <c r="A19" s="69">
        <v>11</v>
      </c>
      <c r="B19" s="70" t="s">
        <v>14</v>
      </c>
      <c r="C19" s="71">
        <v>5000</v>
      </c>
      <c r="D19" s="59">
        <f t="shared" si="2"/>
        <v>0</v>
      </c>
      <c r="E19" s="70" t="e">
        <f t="shared" si="0"/>
        <v>#REF!</v>
      </c>
      <c r="F19" s="59" t="str">
        <f t="shared" si="3"/>
        <v>น้อย</v>
      </c>
      <c r="G19" s="72">
        <f t="shared" si="4"/>
        <v>0</v>
      </c>
      <c r="H19" s="73">
        <f t="shared" si="1"/>
        <v>5000</v>
      </c>
      <c r="I19" s="55"/>
      <c r="K19" s="55"/>
    </row>
    <row r="20" spans="1:9" ht="27" thickBot="1">
      <c r="A20" s="56">
        <v>12</v>
      </c>
      <c r="B20" s="57" t="s">
        <v>15</v>
      </c>
      <c r="C20" s="58">
        <v>555555</v>
      </c>
      <c r="D20" s="59">
        <f t="shared" si="2"/>
        <v>0.3</v>
      </c>
      <c r="E20" s="57" t="e">
        <f t="shared" si="0"/>
        <v>#REF!</v>
      </c>
      <c r="F20" s="59" t="str">
        <f t="shared" si="3"/>
        <v>มากที่สุด</v>
      </c>
      <c r="G20" s="60">
        <f t="shared" si="4"/>
        <v>1666.665</v>
      </c>
      <c r="H20" s="61">
        <f t="shared" si="1"/>
        <v>553888.335</v>
      </c>
      <c r="I20" s="55"/>
    </row>
    <row r="21" spans="1:9" ht="27" thickBot="1">
      <c r="A21" s="56">
        <v>13</v>
      </c>
      <c r="B21" s="57" t="s">
        <v>16</v>
      </c>
      <c r="C21" s="58">
        <v>55555</v>
      </c>
      <c r="D21" s="59">
        <f t="shared" si="2"/>
        <v>0.15</v>
      </c>
      <c r="E21" s="57" t="e">
        <f t="shared" si="0"/>
        <v>#REF!</v>
      </c>
      <c r="F21" s="59" t="str">
        <f t="shared" si="3"/>
        <v>มาก</v>
      </c>
      <c r="G21" s="60">
        <f t="shared" si="4"/>
        <v>83.3325</v>
      </c>
      <c r="H21" s="61">
        <f t="shared" si="1"/>
        <v>55471.6675</v>
      </c>
      <c r="I21" s="55"/>
    </row>
    <row r="22" spans="1:9" ht="27" thickBot="1">
      <c r="A22" s="56">
        <v>14</v>
      </c>
      <c r="B22" s="57" t="s">
        <v>17</v>
      </c>
      <c r="C22" s="58">
        <v>7500</v>
      </c>
      <c r="D22" s="59">
        <f t="shared" si="2"/>
        <v>0</v>
      </c>
      <c r="E22" s="57" t="e">
        <f t="shared" si="0"/>
        <v>#REF!</v>
      </c>
      <c r="F22" s="59" t="str">
        <f t="shared" si="3"/>
        <v>น้อย</v>
      </c>
      <c r="G22" s="60">
        <f t="shared" si="4"/>
        <v>0</v>
      </c>
      <c r="H22" s="61">
        <f t="shared" si="1"/>
        <v>7500</v>
      </c>
      <c r="I22" s="55"/>
    </row>
    <row r="23" spans="1:9" ht="27" thickBot="1">
      <c r="A23" s="56">
        <v>15</v>
      </c>
      <c r="B23" s="57" t="s">
        <v>18</v>
      </c>
      <c r="C23" s="58">
        <v>8900</v>
      </c>
      <c r="D23" s="59">
        <f t="shared" si="2"/>
        <v>0</v>
      </c>
      <c r="E23" s="57" t="e">
        <f t="shared" si="0"/>
        <v>#REF!</v>
      </c>
      <c r="F23" s="59" t="str">
        <f t="shared" si="3"/>
        <v>น้อย</v>
      </c>
      <c r="G23" s="60">
        <f t="shared" si="4"/>
        <v>0</v>
      </c>
      <c r="H23" s="61">
        <f t="shared" si="1"/>
        <v>8900</v>
      </c>
      <c r="I23" s="55"/>
    </row>
    <row r="24" spans="1:9" ht="27" thickBot="1">
      <c r="A24" s="74"/>
      <c r="B24" s="75"/>
      <c r="C24" s="76"/>
      <c r="D24" s="77"/>
      <c r="E24" s="75"/>
      <c r="F24" s="75"/>
      <c r="G24" s="78"/>
      <c r="H24" s="79"/>
      <c r="I24" s="55"/>
    </row>
    <row r="25" spans="7:8" ht="26.25">
      <c r="G25" s="45" t="s">
        <v>135</v>
      </c>
      <c r="H25" s="80">
        <f>MIN(H9:H23)</f>
        <v>10</v>
      </c>
    </row>
    <row r="26" spans="7:8" ht="26.25">
      <c r="G26" s="45" t="s">
        <v>136</v>
      </c>
      <c r="H26" s="81">
        <f>MAX(H10:H24)</f>
        <v>553888.335</v>
      </c>
    </row>
    <row r="27" spans="7:8" ht="27" thickBot="1">
      <c r="G27" s="45" t="s">
        <v>137</v>
      </c>
      <c r="H27" s="82">
        <f>AVERAGE(H11:H25)</f>
        <v>131485.78584285715</v>
      </c>
    </row>
    <row r="28" ht="27" thickTop="1"/>
  </sheetData>
  <sheetProtection/>
  <mergeCells count="1"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="120" zoomScaleNormal="120" zoomScalePageLayoutView="0" workbookViewId="0" topLeftCell="A13">
      <selection activeCell="G8" sqref="G8"/>
    </sheetView>
  </sheetViews>
  <sheetFormatPr defaultColWidth="9.140625" defaultRowHeight="21.75"/>
  <cols>
    <col min="1" max="1" width="8.140625" style="0" customWidth="1"/>
    <col min="2" max="2" width="22.57421875" style="126" customWidth="1"/>
    <col min="3" max="3" width="9.57421875" style="0" customWidth="1"/>
    <col min="4" max="4" width="10.8515625" style="0" customWidth="1"/>
    <col min="5" max="5" width="14.28125" style="0" bestFit="1" customWidth="1"/>
    <col min="7" max="7" width="13.8515625" style="0" bestFit="1" customWidth="1"/>
    <col min="8" max="8" width="13.140625" style="0" customWidth="1"/>
  </cols>
  <sheetData>
    <row r="1" ht="21.75">
      <c r="A1" t="s">
        <v>140</v>
      </c>
    </row>
    <row r="2" ht="21.75">
      <c r="A2" s="135" t="s">
        <v>171</v>
      </c>
    </row>
    <row r="3" ht="21.75">
      <c r="A3" s="135" t="s">
        <v>170</v>
      </c>
    </row>
    <row r="4" ht="21.75">
      <c r="A4" t="s">
        <v>141</v>
      </c>
    </row>
    <row r="5" spans="1:8" ht="34.5">
      <c r="A5" s="209" t="s">
        <v>51</v>
      </c>
      <c r="B5" s="209"/>
      <c r="C5" s="209"/>
      <c r="D5" s="209"/>
      <c r="E5" s="209"/>
      <c r="F5" s="209"/>
      <c r="G5" s="209"/>
      <c r="H5" s="209"/>
    </row>
    <row r="6" spans="1:8" ht="21.75">
      <c r="A6" s="208" t="s">
        <v>0</v>
      </c>
      <c r="B6" s="207" t="s">
        <v>1</v>
      </c>
      <c r="C6" s="210" t="s">
        <v>52</v>
      </c>
      <c r="D6" s="210"/>
      <c r="E6" s="210" t="s">
        <v>55</v>
      </c>
      <c r="F6" s="210"/>
      <c r="G6" s="210"/>
      <c r="H6" s="208" t="s">
        <v>56</v>
      </c>
    </row>
    <row r="7" spans="1:8" ht="21.75">
      <c r="A7" s="208"/>
      <c r="B7" s="207"/>
      <c r="C7" s="16" t="s">
        <v>53</v>
      </c>
      <c r="D7" s="16" t="s">
        <v>54</v>
      </c>
      <c r="E7" s="16" t="s">
        <v>52</v>
      </c>
      <c r="F7" s="16" t="s">
        <v>138</v>
      </c>
      <c r="G7" s="16" t="s">
        <v>139</v>
      </c>
      <c r="H7" s="208"/>
    </row>
    <row r="8" spans="1:8" ht="21.75">
      <c r="A8" s="44">
        <v>1</v>
      </c>
      <c r="B8" s="127" t="s">
        <v>4</v>
      </c>
      <c r="C8" s="44">
        <v>50</v>
      </c>
      <c r="D8" s="44">
        <v>160</v>
      </c>
      <c r="E8" s="142">
        <f>D8-C8</f>
        <v>110</v>
      </c>
      <c r="F8" s="142" t="str">
        <f aca="true" t="shared" si="0" ref="F8:F13">IF(E8&gt;100,"15",IF(E8&gt;50,"10","5"))</f>
        <v>15</v>
      </c>
      <c r="G8" s="142">
        <f>VLOOKUP(E8:E22,$K$14:$L$16,2)</f>
        <v>15</v>
      </c>
      <c r="H8" s="143">
        <f>E8*F8</f>
        <v>1650</v>
      </c>
    </row>
    <row r="9" spans="1:8" ht="21.75">
      <c r="A9" s="44">
        <v>2</v>
      </c>
      <c r="B9" s="127" t="s">
        <v>5</v>
      </c>
      <c r="C9" s="44">
        <v>65</v>
      </c>
      <c r="D9" s="44">
        <v>80</v>
      </c>
      <c r="E9" s="142">
        <f aca="true" t="shared" si="1" ref="E9:E22">D9-C9</f>
        <v>15</v>
      </c>
      <c r="F9" s="142" t="str">
        <f t="shared" si="0"/>
        <v>5</v>
      </c>
      <c r="G9" s="142">
        <f aca="true" t="shared" si="2" ref="G9:G22">VLOOKUP(E9:E23,$K$14:$L$16,2)</f>
        <v>5</v>
      </c>
      <c r="H9" s="143">
        <f aca="true" t="shared" si="3" ref="H9:H21">E9*F9</f>
        <v>75</v>
      </c>
    </row>
    <row r="10" spans="1:8" ht="21.75">
      <c r="A10" s="44">
        <v>3</v>
      </c>
      <c r="B10" s="127" t="s">
        <v>6</v>
      </c>
      <c r="C10" s="44">
        <v>45</v>
      </c>
      <c r="D10" s="44">
        <v>60</v>
      </c>
      <c r="E10" s="142">
        <f t="shared" si="1"/>
        <v>15</v>
      </c>
      <c r="F10" s="142" t="str">
        <f t="shared" si="0"/>
        <v>5</v>
      </c>
      <c r="G10" s="142">
        <f t="shared" si="2"/>
        <v>5</v>
      </c>
      <c r="H10" s="143">
        <f t="shared" si="3"/>
        <v>75</v>
      </c>
    </row>
    <row r="11" spans="1:8" ht="21.75">
      <c r="A11" s="44">
        <v>4</v>
      </c>
      <c r="B11" s="127" t="s">
        <v>7</v>
      </c>
      <c r="C11" s="44">
        <v>200</v>
      </c>
      <c r="D11" s="44">
        <v>300</v>
      </c>
      <c r="E11" s="142">
        <f t="shared" si="1"/>
        <v>100</v>
      </c>
      <c r="F11" s="142" t="str">
        <f t="shared" si="0"/>
        <v>10</v>
      </c>
      <c r="G11" s="142">
        <f t="shared" si="2"/>
        <v>10</v>
      </c>
      <c r="H11" s="143">
        <f t="shared" si="3"/>
        <v>1000</v>
      </c>
    </row>
    <row r="12" spans="1:8" ht="21.75">
      <c r="A12" s="44">
        <v>5</v>
      </c>
      <c r="B12" s="127" t="s">
        <v>8</v>
      </c>
      <c r="C12" s="44">
        <v>60</v>
      </c>
      <c r="D12" s="44">
        <v>300</v>
      </c>
      <c r="E12" s="142">
        <f t="shared" si="1"/>
        <v>240</v>
      </c>
      <c r="F12" s="142" t="str">
        <f t="shared" si="0"/>
        <v>15</v>
      </c>
      <c r="G12" s="142">
        <f t="shared" si="2"/>
        <v>15</v>
      </c>
      <c r="H12" s="143">
        <f t="shared" si="3"/>
        <v>3600</v>
      </c>
    </row>
    <row r="13" spans="1:8" ht="22.5" thickBot="1">
      <c r="A13" s="44">
        <v>6</v>
      </c>
      <c r="B13" s="127" t="s">
        <v>9</v>
      </c>
      <c r="C13" s="44">
        <v>25</v>
      </c>
      <c r="D13" s="44">
        <v>200</v>
      </c>
      <c r="E13" s="142">
        <f t="shared" si="1"/>
        <v>175</v>
      </c>
      <c r="F13" s="142" t="str">
        <f t="shared" si="0"/>
        <v>15</v>
      </c>
      <c r="G13" s="142">
        <f t="shared" si="2"/>
        <v>15</v>
      </c>
      <c r="H13" s="143">
        <f t="shared" si="3"/>
        <v>2625</v>
      </c>
    </row>
    <row r="14" spans="1:12" ht="22.5" thickBot="1">
      <c r="A14" s="44">
        <v>7</v>
      </c>
      <c r="B14" s="127" t="s">
        <v>10</v>
      </c>
      <c r="C14" s="44">
        <v>30</v>
      </c>
      <c r="D14" s="44">
        <v>50</v>
      </c>
      <c r="E14" s="142">
        <f t="shared" si="1"/>
        <v>20</v>
      </c>
      <c r="F14" s="142" t="str">
        <f aca="true" t="shared" si="4" ref="F14:F22">IF(E14&gt;100,"15",IF(E14&gt;50,"10","5"))</f>
        <v>5</v>
      </c>
      <c r="G14" s="142">
        <f t="shared" si="2"/>
        <v>5</v>
      </c>
      <c r="H14" s="143">
        <f t="shared" si="3"/>
        <v>100</v>
      </c>
      <c r="K14" s="2">
        <v>0</v>
      </c>
      <c r="L14" s="3">
        <v>5</v>
      </c>
    </row>
    <row r="15" spans="1:12" ht="22.5" thickBot="1">
      <c r="A15" s="44">
        <v>8</v>
      </c>
      <c r="B15" s="127" t="s">
        <v>11</v>
      </c>
      <c r="C15" s="44">
        <v>60</v>
      </c>
      <c r="D15" s="44">
        <v>250</v>
      </c>
      <c r="E15" s="142">
        <f t="shared" si="1"/>
        <v>190</v>
      </c>
      <c r="F15" s="142" t="str">
        <f t="shared" si="4"/>
        <v>15</v>
      </c>
      <c r="G15" s="142">
        <f t="shared" si="2"/>
        <v>15</v>
      </c>
      <c r="H15" s="143">
        <f t="shared" si="3"/>
        <v>2850</v>
      </c>
      <c r="K15" s="2">
        <v>51</v>
      </c>
      <c r="L15" s="3">
        <v>10</v>
      </c>
    </row>
    <row r="16" spans="1:12" ht="22.5" thickBot="1">
      <c r="A16" s="44">
        <v>9</v>
      </c>
      <c r="B16" s="127" t="s">
        <v>12</v>
      </c>
      <c r="C16" s="44">
        <v>50</v>
      </c>
      <c r="D16" s="44">
        <v>65</v>
      </c>
      <c r="E16" s="142">
        <f t="shared" si="1"/>
        <v>15</v>
      </c>
      <c r="F16" s="142" t="str">
        <f t="shared" si="4"/>
        <v>5</v>
      </c>
      <c r="G16" s="142">
        <f t="shared" si="2"/>
        <v>5</v>
      </c>
      <c r="H16" s="143">
        <f t="shared" si="3"/>
        <v>75</v>
      </c>
      <c r="K16" s="4">
        <v>101</v>
      </c>
      <c r="L16" s="5">
        <v>15</v>
      </c>
    </row>
    <row r="17" spans="1:8" ht="21.75">
      <c r="A17" s="44">
        <v>10</v>
      </c>
      <c r="B17" s="127" t="s">
        <v>13</v>
      </c>
      <c r="C17" s="44">
        <v>30</v>
      </c>
      <c r="D17" s="44">
        <v>45</v>
      </c>
      <c r="E17" s="142">
        <f t="shared" si="1"/>
        <v>15</v>
      </c>
      <c r="F17" s="142" t="str">
        <f t="shared" si="4"/>
        <v>5</v>
      </c>
      <c r="G17" s="142">
        <f t="shared" si="2"/>
        <v>5</v>
      </c>
      <c r="H17" s="143">
        <f t="shared" si="3"/>
        <v>75</v>
      </c>
    </row>
    <row r="18" spans="1:8" ht="21.75">
      <c r="A18" s="44">
        <v>11</v>
      </c>
      <c r="B18" s="127" t="s">
        <v>14</v>
      </c>
      <c r="C18" s="44">
        <v>50</v>
      </c>
      <c r="D18" s="44">
        <v>350</v>
      </c>
      <c r="E18" s="142">
        <f t="shared" si="1"/>
        <v>300</v>
      </c>
      <c r="F18" s="142" t="str">
        <f t="shared" si="4"/>
        <v>15</v>
      </c>
      <c r="G18" s="142">
        <f t="shared" si="2"/>
        <v>15</v>
      </c>
      <c r="H18" s="143">
        <f t="shared" si="3"/>
        <v>4500</v>
      </c>
    </row>
    <row r="19" spans="1:8" ht="21.75">
      <c r="A19" s="44">
        <v>12</v>
      </c>
      <c r="B19" s="127" t="s">
        <v>15</v>
      </c>
      <c r="C19" s="44">
        <v>250</v>
      </c>
      <c r="D19" s="44">
        <v>600</v>
      </c>
      <c r="E19" s="142">
        <f t="shared" si="1"/>
        <v>350</v>
      </c>
      <c r="F19" s="142" t="str">
        <f t="shared" si="4"/>
        <v>15</v>
      </c>
      <c r="G19" s="142">
        <f t="shared" si="2"/>
        <v>15</v>
      </c>
      <c r="H19" s="143">
        <f t="shared" si="3"/>
        <v>5250</v>
      </c>
    </row>
    <row r="20" spans="1:8" ht="21.75">
      <c r="A20" s="44">
        <v>13</v>
      </c>
      <c r="B20" s="127" t="s">
        <v>16</v>
      </c>
      <c r="C20" s="44">
        <v>40</v>
      </c>
      <c r="D20" s="44">
        <v>50</v>
      </c>
      <c r="E20" s="142">
        <f t="shared" si="1"/>
        <v>10</v>
      </c>
      <c r="F20" s="142" t="str">
        <f t="shared" si="4"/>
        <v>5</v>
      </c>
      <c r="G20" s="142">
        <f t="shared" si="2"/>
        <v>5</v>
      </c>
      <c r="H20" s="143">
        <f t="shared" si="3"/>
        <v>50</v>
      </c>
    </row>
    <row r="21" spans="1:8" ht="21.75">
      <c r="A21" s="44">
        <v>14</v>
      </c>
      <c r="B21" s="127" t="s">
        <v>17</v>
      </c>
      <c r="C21" s="44">
        <v>50</v>
      </c>
      <c r="D21" s="44">
        <v>550</v>
      </c>
      <c r="E21" s="142">
        <f t="shared" si="1"/>
        <v>500</v>
      </c>
      <c r="F21" s="142" t="str">
        <f t="shared" si="4"/>
        <v>15</v>
      </c>
      <c r="G21" s="142">
        <f t="shared" si="2"/>
        <v>15</v>
      </c>
      <c r="H21" s="143">
        <f t="shared" si="3"/>
        <v>7500</v>
      </c>
    </row>
    <row r="22" spans="1:8" ht="21.75">
      <c r="A22" s="44">
        <v>15</v>
      </c>
      <c r="B22" s="127" t="s">
        <v>18</v>
      </c>
      <c r="C22" s="44">
        <v>45</v>
      </c>
      <c r="D22" s="44">
        <v>60</v>
      </c>
      <c r="E22" s="142">
        <f t="shared" si="1"/>
        <v>15</v>
      </c>
      <c r="F22" s="142" t="str">
        <f t="shared" si="4"/>
        <v>5</v>
      </c>
      <c r="G22" s="142">
        <f t="shared" si="2"/>
        <v>5</v>
      </c>
      <c r="H22" s="143">
        <f>E22*F22</f>
        <v>75</v>
      </c>
    </row>
    <row r="23" spans="1:8" ht="21.75">
      <c r="A23" s="43"/>
      <c r="B23" s="128"/>
      <c r="C23" s="43"/>
      <c r="D23" s="43"/>
      <c r="E23" s="43"/>
      <c r="F23" s="43"/>
      <c r="G23" s="43"/>
      <c r="H23" s="43"/>
    </row>
  </sheetData>
  <sheetProtection/>
  <mergeCells count="6">
    <mergeCell ref="B6:B7"/>
    <mergeCell ref="A6:A7"/>
    <mergeCell ref="A5:H5"/>
    <mergeCell ref="H6:H7"/>
    <mergeCell ref="E6:G6"/>
    <mergeCell ref="C6: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="130" zoomScaleNormal="130" zoomScalePageLayoutView="0" workbookViewId="0" topLeftCell="A1">
      <selection activeCell="L16" sqref="L16"/>
    </sheetView>
  </sheetViews>
  <sheetFormatPr defaultColWidth="9.140625" defaultRowHeight="21.75"/>
  <cols>
    <col min="2" max="2" width="3.00390625" style="0" bestFit="1" customWidth="1"/>
    <col min="4" max="4" width="7.00390625" style="0" bestFit="1" customWidth="1"/>
    <col min="5" max="5" width="7.7109375" style="0" bestFit="1" customWidth="1"/>
    <col min="6" max="6" width="10.8515625" style="0" bestFit="1" customWidth="1"/>
    <col min="7" max="7" width="12.7109375" style="0" bestFit="1" customWidth="1"/>
    <col min="9" max="9" width="7.57421875" style="0" customWidth="1"/>
    <col min="10" max="11" width="3.28125" style="0" bestFit="1" customWidth="1"/>
    <col min="12" max="12" width="13.00390625" style="0" customWidth="1"/>
    <col min="13" max="13" width="18.8515625" style="0" bestFit="1" customWidth="1"/>
  </cols>
  <sheetData>
    <row r="1" spans="2:7" ht="21.75">
      <c r="B1" s="211" t="s">
        <v>167</v>
      </c>
      <c r="C1" s="212"/>
      <c r="D1" s="212"/>
      <c r="E1" s="212"/>
      <c r="F1" s="212"/>
      <c r="G1" s="212"/>
    </row>
    <row r="2" spans="2:13" ht="21.75">
      <c r="B2" s="134"/>
      <c r="C2" s="134" t="s">
        <v>154</v>
      </c>
      <c r="D2" s="134" t="s">
        <v>155</v>
      </c>
      <c r="E2" s="134" t="s">
        <v>156</v>
      </c>
      <c r="F2" s="134" t="s">
        <v>157</v>
      </c>
      <c r="G2" s="138" t="s">
        <v>166</v>
      </c>
      <c r="H2" s="136" t="s">
        <v>168</v>
      </c>
      <c r="I2" s="213" t="s">
        <v>169</v>
      </c>
      <c r="J2" s="214"/>
      <c r="K2" s="214"/>
      <c r="L2" s="214"/>
      <c r="M2" s="214"/>
    </row>
    <row r="3" spans="2:13" ht="21.75">
      <c r="B3" s="40">
        <v>1</v>
      </c>
      <c r="C3" s="40">
        <v>50</v>
      </c>
      <c r="D3" s="133" t="str">
        <f>VLOOKUP(C3,$I$3:$M$10,2)</f>
        <v>D</v>
      </c>
      <c r="E3" s="133" t="str">
        <f>VLOOKUP(C3,$I$3:$M$10,3)</f>
        <v>ง</v>
      </c>
      <c r="F3" s="133" t="str">
        <f>VLOOKUP(C3,$I$3:$M$10,4)</f>
        <v>แย่</v>
      </c>
      <c r="G3" s="137" t="str">
        <f>VLOOKUP(C3,$I$3:$M$10,5)</f>
        <v>**</v>
      </c>
      <c r="H3" s="40" t="str">
        <f>HLOOKUP(C3,$B$15:$I$16,2)</f>
        <v>D</v>
      </c>
      <c r="I3" s="141">
        <v>0</v>
      </c>
      <c r="J3" s="88" t="s">
        <v>27</v>
      </c>
      <c r="K3" s="88" t="s">
        <v>35</v>
      </c>
      <c r="L3" s="89" t="s">
        <v>92</v>
      </c>
      <c r="M3" s="139" t="s">
        <v>158</v>
      </c>
    </row>
    <row r="4" spans="2:13" ht="21.75">
      <c r="B4" s="40">
        <v>2</v>
      </c>
      <c r="C4" s="40">
        <v>65</v>
      </c>
      <c r="D4" s="133" t="str">
        <f aca="true" t="shared" si="0" ref="D4:D13">VLOOKUP(C4,$I$3:$M$10,2)</f>
        <v>C+</v>
      </c>
      <c r="E4" s="133" t="str">
        <f aca="true" t="shared" si="1" ref="E4:E13">VLOOKUP(C4,$I$3:$M$10,3)</f>
        <v>ค+</v>
      </c>
      <c r="F4" s="133" t="str">
        <f aca="true" t="shared" si="2" ref="F4:F13">VLOOKUP(C4,$I$3:$M$10,4)</f>
        <v>ค่อนข้างพอใช้</v>
      </c>
      <c r="G4" s="137" t="str">
        <f aca="true" t="shared" si="3" ref="G4:G13">VLOOKUP(C4,$I$3:$M$10,5)</f>
        <v>*****</v>
      </c>
      <c r="H4" s="40" t="str">
        <f aca="true" t="shared" si="4" ref="H4:H13">HLOOKUP(C4,$B$15:$I$16,2)</f>
        <v>C+</v>
      </c>
      <c r="I4" s="141">
        <v>50</v>
      </c>
      <c r="J4" s="88" t="s">
        <v>26</v>
      </c>
      <c r="K4" s="88" t="s">
        <v>34</v>
      </c>
      <c r="L4" s="89" t="s">
        <v>93</v>
      </c>
      <c r="M4" s="139" t="s">
        <v>159</v>
      </c>
    </row>
    <row r="5" spans="2:13" ht="21.75">
      <c r="B5" s="40">
        <v>3</v>
      </c>
      <c r="C5" s="40">
        <v>70</v>
      </c>
      <c r="D5" s="133" t="str">
        <f t="shared" si="0"/>
        <v>B</v>
      </c>
      <c r="E5" s="133" t="str">
        <f t="shared" si="1"/>
        <v>ข</v>
      </c>
      <c r="F5" s="133" t="str">
        <f t="shared" si="2"/>
        <v>ปานกลาง</v>
      </c>
      <c r="G5" s="137" t="str">
        <f t="shared" si="3"/>
        <v>******</v>
      </c>
      <c r="H5" s="40" t="str">
        <f t="shared" si="4"/>
        <v>B</v>
      </c>
      <c r="I5" s="141">
        <v>55</v>
      </c>
      <c r="J5" s="88" t="s">
        <v>25</v>
      </c>
      <c r="K5" s="88" t="s">
        <v>33</v>
      </c>
      <c r="L5" s="89" t="s">
        <v>94</v>
      </c>
      <c r="M5" s="139" t="s">
        <v>160</v>
      </c>
    </row>
    <row r="6" spans="2:13" ht="21.75">
      <c r="B6" s="40">
        <v>4</v>
      </c>
      <c r="C6" s="40">
        <v>74</v>
      </c>
      <c r="D6" s="133" t="str">
        <f t="shared" si="0"/>
        <v>B</v>
      </c>
      <c r="E6" s="133" t="str">
        <f t="shared" si="1"/>
        <v>ข</v>
      </c>
      <c r="F6" s="133" t="str">
        <f t="shared" si="2"/>
        <v>ปานกลาง</v>
      </c>
      <c r="G6" s="137" t="str">
        <f t="shared" si="3"/>
        <v>******</v>
      </c>
      <c r="H6" s="40" t="str">
        <f t="shared" si="4"/>
        <v>B</v>
      </c>
      <c r="I6" s="141">
        <v>60</v>
      </c>
      <c r="J6" s="88" t="s">
        <v>24</v>
      </c>
      <c r="K6" s="88" t="s">
        <v>32</v>
      </c>
      <c r="L6" s="89" t="s">
        <v>95</v>
      </c>
      <c r="M6" s="140" t="s">
        <v>161</v>
      </c>
    </row>
    <row r="7" spans="2:13" ht="21.75">
      <c r="B7" s="40">
        <v>5</v>
      </c>
      <c r="C7" s="40">
        <v>75</v>
      </c>
      <c r="D7" s="133" t="str">
        <f t="shared" si="0"/>
        <v>B+</v>
      </c>
      <c r="E7" s="133" t="str">
        <f t="shared" si="1"/>
        <v>ข+</v>
      </c>
      <c r="F7" s="133" t="str">
        <f t="shared" si="2"/>
        <v>ดี</v>
      </c>
      <c r="G7" s="137" t="str">
        <f t="shared" si="3"/>
        <v>*******</v>
      </c>
      <c r="H7" s="40" t="str">
        <f t="shared" si="4"/>
        <v>B+</v>
      </c>
      <c r="I7" s="141">
        <v>65</v>
      </c>
      <c r="J7" s="88" t="s">
        <v>23</v>
      </c>
      <c r="K7" s="88" t="s">
        <v>31</v>
      </c>
      <c r="L7" s="89" t="s">
        <v>125</v>
      </c>
      <c r="M7" s="140" t="s">
        <v>162</v>
      </c>
    </row>
    <row r="8" spans="2:13" ht="21.75">
      <c r="B8" s="40">
        <v>6</v>
      </c>
      <c r="C8" s="40">
        <v>85</v>
      </c>
      <c r="D8" s="133" t="str">
        <f t="shared" si="0"/>
        <v>A</v>
      </c>
      <c r="E8" s="133" t="str">
        <f t="shared" si="1"/>
        <v>ก</v>
      </c>
      <c r="F8" s="133" t="str">
        <f t="shared" si="2"/>
        <v>ดีมาก</v>
      </c>
      <c r="G8" s="137" t="str">
        <f t="shared" si="3"/>
        <v>********</v>
      </c>
      <c r="H8" s="40" t="str">
        <f t="shared" si="4"/>
        <v>A</v>
      </c>
      <c r="I8" s="141">
        <v>70</v>
      </c>
      <c r="J8" s="88" t="s">
        <v>22</v>
      </c>
      <c r="K8" s="88" t="s">
        <v>30</v>
      </c>
      <c r="L8" s="89" t="s">
        <v>98</v>
      </c>
      <c r="M8" s="140" t="s">
        <v>163</v>
      </c>
    </row>
    <row r="9" spans="2:13" ht="21.75">
      <c r="B9" s="40">
        <v>7</v>
      </c>
      <c r="C9" s="40">
        <v>12</v>
      </c>
      <c r="D9" s="133" t="str">
        <f t="shared" si="0"/>
        <v>E</v>
      </c>
      <c r="E9" s="133" t="str">
        <f t="shared" si="1"/>
        <v>จ</v>
      </c>
      <c r="F9" s="133" t="str">
        <f t="shared" si="2"/>
        <v>แย่มาก</v>
      </c>
      <c r="G9" s="137" t="str">
        <f t="shared" si="3"/>
        <v>*</v>
      </c>
      <c r="H9" s="40" t="str">
        <f t="shared" si="4"/>
        <v>E</v>
      </c>
      <c r="I9" s="141">
        <v>75</v>
      </c>
      <c r="J9" s="88" t="s">
        <v>21</v>
      </c>
      <c r="K9" s="88" t="s">
        <v>29</v>
      </c>
      <c r="L9" s="89" t="s">
        <v>97</v>
      </c>
      <c r="M9" s="140" t="s">
        <v>164</v>
      </c>
    </row>
    <row r="10" spans="2:13" ht="21.75">
      <c r="B10" s="40">
        <v>8</v>
      </c>
      <c r="C10" s="40">
        <v>55</v>
      </c>
      <c r="D10" s="133" t="str">
        <f t="shared" si="0"/>
        <v>D+</v>
      </c>
      <c r="E10" s="133" t="str">
        <f t="shared" si="1"/>
        <v>ง+</v>
      </c>
      <c r="F10" s="133" t="str">
        <f t="shared" si="2"/>
        <v>อ่อน</v>
      </c>
      <c r="G10" s="137" t="str">
        <f t="shared" si="3"/>
        <v>***</v>
      </c>
      <c r="H10" s="40" t="str">
        <f t="shared" si="4"/>
        <v>D+</v>
      </c>
      <c r="I10" s="141">
        <v>80</v>
      </c>
      <c r="J10" s="88" t="s">
        <v>20</v>
      </c>
      <c r="K10" s="88" t="s">
        <v>28</v>
      </c>
      <c r="L10" s="89" t="s">
        <v>96</v>
      </c>
      <c r="M10" s="140" t="s">
        <v>165</v>
      </c>
    </row>
    <row r="11" spans="2:8" ht="21.75">
      <c r="B11" s="40">
        <v>9</v>
      </c>
      <c r="C11" s="40">
        <v>54</v>
      </c>
      <c r="D11" s="133" t="str">
        <f t="shared" si="0"/>
        <v>D</v>
      </c>
      <c r="E11" s="133" t="str">
        <f t="shared" si="1"/>
        <v>ง</v>
      </c>
      <c r="F11" s="133" t="str">
        <f t="shared" si="2"/>
        <v>แย่</v>
      </c>
      <c r="G11" s="137" t="str">
        <f t="shared" si="3"/>
        <v>**</v>
      </c>
      <c r="H11" s="40" t="str">
        <f t="shared" si="4"/>
        <v>D</v>
      </c>
    </row>
    <row r="12" spans="2:8" ht="21.75">
      <c r="B12" s="40">
        <v>10</v>
      </c>
      <c r="C12" s="40">
        <v>80</v>
      </c>
      <c r="D12" s="133" t="str">
        <f t="shared" si="0"/>
        <v>A</v>
      </c>
      <c r="E12" s="133" t="str">
        <f t="shared" si="1"/>
        <v>ก</v>
      </c>
      <c r="F12" s="133" t="str">
        <f t="shared" si="2"/>
        <v>ดีมาก</v>
      </c>
      <c r="G12" s="137" t="str">
        <f t="shared" si="3"/>
        <v>********</v>
      </c>
      <c r="H12" s="40" t="str">
        <f t="shared" si="4"/>
        <v>A</v>
      </c>
    </row>
    <row r="13" spans="2:9" ht="21.75">
      <c r="B13" s="40">
        <v>11</v>
      </c>
      <c r="C13" s="40">
        <v>30</v>
      </c>
      <c r="D13" s="133" t="str">
        <f t="shared" si="0"/>
        <v>E</v>
      </c>
      <c r="E13" s="133" t="str">
        <f t="shared" si="1"/>
        <v>จ</v>
      </c>
      <c r="F13" s="133" t="str">
        <f t="shared" si="2"/>
        <v>แย่มาก</v>
      </c>
      <c r="G13" s="137" t="str">
        <f t="shared" si="3"/>
        <v>*</v>
      </c>
      <c r="H13" s="40" t="str">
        <f t="shared" si="4"/>
        <v>E</v>
      </c>
      <c r="I13" s="145"/>
    </row>
    <row r="15" spans="1:9" ht="21.75">
      <c r="A15" s="135" t="s">
        <v>168</v>
      </c>
      <c r="B15" s="40">
        <v>0</v>
      </c>
      <c r="C15" s="40">
        <v>50</v>
      </c>
      <c r="D15" s="40">
        <v>55</v>
      </c>
      <c r="E15" s="40">
        <v>60</v>
      </c>
      <c r="F15" s="40">
        <v>65</v>
      </c>
      <c r="G15" s="40">
        <v>70</v>
      </c>
      <c r="H15" s="40">
        <v>75</v>
      </c>
      <c r="I15" s="40">
        <v>80</v>
      </c>
    </row>
    <row r="16" spans="2:9" ht="21.75">
      <c r="B16" s="136" t="s">
        <v>27</v>
      </c>
      <c r="C16" s="136" t="s">
        <v>26</v>
      </c>
      <c r="D16" s="136" t="s">
        <v>25</v>
      </c>
      <c r="E16" s="136" t="s">
        <v>24</v>
      </c>
      <c r="F16" s="136" t="s">
        <v>23</v>
      </c>
      <c r="G16" s="136" t="s">
        <v>22</v>
      </c>
      <c r="H16" s="136" t="s">
        <v>21</v>
      </c>
      <c r="I16" s="136" t="s">
        <v>20</v>
      </c>
    </row>
  </sheetData>
  <sheetProtection/>
  <mergeCells count="2">
    <mergeCell ref="B1:G1"/>
    <mergeCell ref="I2:M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="140" zoomScaleNormal="140" zoomScalePageLayoutView="0" workbookViewId="0" topLeftCell="C1">
      <selection activeCell="K9" sqref="K9"/>
    </sheetView>
  </sheetViews>
  <sheetFormatPr defaultColWidth="9.140625" defaultRowHeight="21.75"/>
  <cols>
    <col min="1" max="1" width="7.57421875" style="9" bestFit="1" customWidth="1"/>
    <col min="2" max="2" width="24.8515625" style="0" bestFit="1" customWidth="1"/>
    <col min="3" max="3" width="9.28125" style="6" customWidth="1"/>
    <col min="4" max="4" width="9.7109375" style="6" customWidth="1"/>
    <col min="5" max="5" width="10.00390625" style="7" bestFit="1" customWidth="1"/>
    <col min="6" max="6" width="12.421875" style="7" bestFit="1" customWidth="1"/>
    <col min="7" max="7" width="10.28125" style="7" customWidth="1"/>
    <col min="8" max="8" width="10.28125" style="11" bestFit="1" customWidth="1"/>
    <col min="9" max="9" width="10.28125" style="11" customWidth="1"/>
    <col min="10" max="10" width="12.00390625" style="0" bestFit="1" customWidth="1"/>
    <col min="11" max="11" width="11.00390625" style="0" bestFit="1" customWidth="1"/>
    <col min="12" max="12" width="11.00390625" style="0" customWidth="1"/>
    <col min="13" max="13" width="13.00390625" style="0" customWidth="1"/>
  </cols>
  <sheetData>
    <row r="1" spans="1:13" s="9" customFormat="1" ht="23.25" customHeight="1">
      <c r="A1" s="215" t="s">
        <v>0</v>
      </c>
      <c r="B1" s="219" t="s">
        <v>1</v>
      </c>
      <c r="C1" s="219" t="s">
        <v>67</v>
      </c>
      <c r="D1" s="221" t="s">
        <v>62</v>
      </c>
      <c r="E1" s="223" t="s">
        <v>60</v>
      </c>
      <c r="F1" s="223" t="s">
        <v>90</v>
      </c>
      <c r="G1" s="217" t="s">
        <v>210</v>
      </c>
      <c r="H1" s="217" t="s">
        <v>193</v>
      </c>
      <c r="I1" s="217" t="s">
        <v>209</v>
      </c>
      <c r="J1" s="225" t="s">
        <v>91</v>
      </c>
      <c r="K1" s="226" t="s">
        <v>61</v>
      </c>
      <c r="L1" s="154"/>
      <c r="M1" s="155"/>
    </row>
    <row r="2" spans="1:13" s="9" customFormat="1" ht="64.5" customHeight="1">
      <c r="A2" s="216"/>
      <c r="B2" s="220"/>
      <c r="C2" s="220"/>
      <c r="D2" s="222"/>
      <c r="E2" s="224"/>
      <c r="F2" s="224"/>
      <c r="G2" s="218"/>
      <c r="H2" s="218"/>
      <c r="I2" s="218"/>
      <c r="J2" s="218"/>
      <c r="K2" s="227"/>
      <c r="L2" s="154"/>
      <c r="M2" s="155"/>
    </row>
    <row r="3" spans="1:13" ht="21.75">
      <c r="A3" s="19">
        <v>7</v>
      </c>
      <c r="B3" s="8" t="s">
        <v>10</v>
      </c>
      <c r="C3" s="18" t="s">
        <v>69</v>
      </c>
      <c r="D3" s="17" t="s">
        <v>64</v>
      </c>
      <c r="E3" s="13">
        <v>3000</v>
      </c>
      <c r="F3" s="13">
        <v>80000</v>
      </c>
      <c r="G3" s="13"/>
      <c r="H3" s="14"/>
      <c r="I3" s="14"/>
      <c r="J3" s="15"/>
      <c r="K3" s="15"/>
      <c r="L3" s="156"/>
      <c r="M3" s="157"/>
    </row>
    <row r="4" spans="1:13" ht="21.75">
      <c r="A4" s="19">
        <v>11</v>
      </c>
      <c r="B4" s="8" t="s">
        <v>14</v>
      </c>
      <c r="C4" s="18" t="s">
        <v>68</v>
      </c>
      <c r="D4" s="17" t="s">
        <v>64</v>
      </c>
      <c r="E4" s="13">
        <v>3200</v>
      </c>
      <c r="F4" s="13">
        <v>81500</v>
      </c>
      <c r="G4" s="13"/>
      <c r="H4" s="14"/>
      <c r="I4" s="14"/>
      <c r="J4" s="15"/>
      <c r="K4" s="15"/>
      <c r="L4" s="144"/>
      <c r="M4" s="153"/>
    </row>
    <row r="5" spans="1:14" ht="21.75">
      <c r="A5" s="19">
        <v>4</v>
      </c>
      <c r="B5" s="8" t="s">
        <v>7</v>
      </c>
      <c r="C5" s="18" t="s">
        <v>69</v>
      </c>
      <c r="D5" s="17" t="s">
        <v>66</v>
      </c>
      <c r="E5" s="13">
        <v>5000</v>
      </c>
      <c r="F5" s="13">
        <v>9922</v>
      </c>
      <c r="G5" s="13"/>
      <c r="H5" s="14"/>
      <c r="I5" s="14"/>
      <c r="J5" s="15"/>
      <c r="K5" s="15"/>
      <c r="L5" s="158"/>
      <c r="M5" s="40">
        <v>0</v>
      </c>
      <c r="N5" s="14">
        <v>0.05</v>
      </c>
    </row>
    <row r="6" spans="1:14" ht="21.75">
      <c r="A6" s="19">
        <v>1</v>
      </c>
      <c r="B6" s="12" t="s">
        <v>4</v>
      </c>
      <c r="C6" s="18" t="s">
        <v>69</v>
      </c>
      <c r="D6" s="17" t="s">
        <v>63</v>
      </c>
      <c r="E6" s="13">
        <v>100</v>
      </c>
      <c r="F6" s="13">
        <v>500000</v>
      </c>
      <c r="G6" s="13"/>
      <c r="H6" s="14"/>
      <c r="I6" s="14"/>
      <c r="J6" s="15"/>
      <c r="K6" s="15"/>
      <c r="L6" s="152"/>
      <c r="M6" s="40">
        <v>5001</v>
      </c>
      <c r="N6" s="14">
        <v>0.1</v>
      </c>
    </row>
    <row r="7" spans="1:14" ht="21.75">
      <c r="A7" s="19">
        <v>2</v>
      </c>
      <c r="B7" s="8" t="s">
        <v>5</v>
      </c>
      <c r="C7" s="18" t="s">
        <v>69</v>
      </c>
      <c r="D7" s="17" t="s">
        <v>64</v>
      </c>
      <c r="E7" s="13">
        <v>7000</v>
      </c>
      <c r="F7" s="13">
        <v>6000</v>
      </c>
      <c r="G7" s="13"/>
      <c r="H7" s="14"/>
      <c r="I7" s="14"/>
      <c r="J7" s="15"/>
      <c r="K7" s="15"/>
      <c r="L7" s="152"/>
      <c r="M7" s="40">
        <v>10000</v>
      </c>
      <c r="N7" s="14">
        <v>0.15</v>
      </c>
    </row>
    <row r="8" spans="1:14" ht="21.75">
      <c r="A8" s="19">
        <v>3</v>
      </c>
      <c r="B8" s="8" t="s">
        <v>6</v>
      </c>
      <c r="C8" s="18" t="s">
        <v>68</v>
      </c>
      <c r="D8" s="17" t="s">
        <v>65</v>
      </c>
      <c r="E8" s="13">
        <v>8000</v>
      </c>
      <c r="F8" s="13">
        <v>222</v>
      </c>
      <c r="G8" s="13"/>
      <c r="H8" s="14"/>
      <c r="I8" s="14"/>
      <c r="J8" s="15"/>
      <c r="K8" s="15"/>
      <c r="L8" s="152"/>
      <c r="M8" s="40">
        <v>100000</v>
      </c>
      <c r="N8" s="14">
        <v>0.2</v>
      </c>
    </row>
    <row r="9" spans="1:14" ht="21.75">
      <c r="A9" s="19">
        <v>12</v>
      </c>
      <c r="B9" s="8" t="s">
        <v>15</v>
      </c>
      <c r="C9" s="18" t="s">
        <v>69</v>
      </c>
      <c r="D9" s="17" t="s">
        <v>65</v>
      </c>
      <c r="E9" s="13">
        <v>8200</v>
      </c>
      <c r="F9" s="13">
        <v>90001</v>
      </c>
      <c r="G9" s="13"/>
      <c r="H9" s="14"/>
      <c r="I9" s="14"/>
      <c r="J9" s="15"/>
      <c r="K9" s="15"/>
      <c r="L9" s="152"/>
      <c r="M9" s="40">
        <v>500000</v>
      </c>
      <c r="N9" s="14">
        <v>0.25</v>
      </c>
    </row>
    <row r="10" spans="1:12" ht="21.75">
      <c r="A10" s="19">
        <v>9</v>
      </c>
      <c r="B10" s="8" t="s">
        <v>12</v>
      </c>
      <c r="C10" s="18" t="s">
        <v>68</v>
      </c>
      <c r="D10" s="17" t="s">
        <v>66</v>
      </c>
      <c r="E10" s="13">
        <v>8540</v>
      </c>
      <c r="F10" s="13">
        <v>500</v>
      </c>
      <c r="G10" s="13"/>
      <c r="H10" s="14"/>
      <c r="I10" s="14"/>
      <c r="J10" s="15"/>
      <c r="K10" s="15"/>
      <c r="L10" s="144"/>
    </row>
    <row r="11" spans="1:14" ht="21.75">
      <c r="A11" s="19">
        <v>13</v>
      </c>
      <c r="B11" s="8" t="s">
        <v>16</v>
      </c>
      <c r="C11" s="18" t="s">
        <v>68</v>
      </c>
      <c r="D11" s="17" t="s">
        <v>63</v>
      </c>
      <c r="E11" s="13">
        <v>100</v>
      </c>
      <c r="F11" s="13">
        <v>89511</v>
      </c>
      <c r="G11" s="13"/>
      <c r="H11" s="14"/>
      <c r="I11" s="14"/>
      <c r="J11" s="15"/>
      <c r="K11" s="15"/>
      <c r="L11" s="144"/>
      <c r="M11" s="149"/>
      <c r="N11" s="150"/>
    </row>
    <row r="12" spans="1:14" ht="21.75">
      <c r="A12" s="19">
        <v>6</v>
      </c>
      <c r="B12" s="8" t="s">
        <v>9</v>
      </c>
      <c r="C12" s="18" t="s">
        <v>69</v>
      </c>
      <c r="D12" s="17" t="s">
        <v>65</v>
      </c>
      <c r="E12" s="13">
        <v>9000</v>
      </c>
      <c r="F12" s="13">
        <v>60000</v>
      </c>
      <c r="G12" s="13"/>
      <c r="H12" s="14"/>
      <c r="I12" s="14"/>
      <c r="J12" s="15"/>
      <c r="K12" s="15"/>
      <c r="L12" s="144"/>
      <c r="M12" s="149"/>
      <c r="N12" s="150"/>
    </row>
    <row r="13" spans="1:14" ht="21.75">
      <c r="A13" s="19">
        <v>8</v>
      </c>
      <c r="B13" s="8" t="s">
        <v>11</v>
      </c>
      <c r="C13" s="18" t="s">
        <v>69</v>
      </c>
      <c r="D13" s="17" t="s">
        <v>63</v>
      </c>
      <c r="E13" s="13">
        <v>100</v>
      </c>
      <c r="F13" s="13">
        <v>9022</v>
      </c>
      <c r="G13" s="13"/>
      <c r="H13" s="14"/>
      <c r="I13" s="14"/>
      <c r="J13" s="15"/>
      <c r="K13" s="15"/>
      <c r="L13" s="144"/>
      <c r="M13" s="149"/>
      <c r="N13" s="150"/>
    </row>
    <row r="14" spans="1:14" ht="21.75">
      <c r="A14" s="19">
        <v>10</v>
      </c>
      <c r="B14" s="8" t="s">
        <v>13</v>
      </c>
      <c r="C14" s="18" t="s">
        <v>68</v>
      </c>
      <c r="D14" s="17" t="s">
        <v>63</v>
      </c>
      <c r="E14" s="13">
        <v>100</v>
      </c>
      <c r="F14" s="13">
        <v>30580</v>
      </c>
      <c r="G14" s="13"/>
      <c r="H14" s="14"/>
      <c r="I14" s="14"/>
      <c r="J14" s="15"/>
      <c r="K14" s="15"/>
      <c r="L14" s="144"/>
      <c r="M14" s="151"/>
      <c r="N14" s="150"/>
    </row>
    <row r="15" spans="1:14" ht="21.75">
      <c r="A15" s="19">
        <v>5</v>
      </c>
      <c r="B15" s="8" t="s">
        <v>8</v>
      </c>
      <c r="C15" s="18" t="s">
        <v>69</v>
      </c>
      <c r="D15" s="17" t="s">
        <v>63</v>
      </c>
      <c r="E15" s="13">
        <v>100</v>
      </c>
      <c r="F15" s="13">
        <v>6580</v>
      </c>
      <c r="G15" s="13"/>
      <c r="H15" s="14"/>
      <c r="I15" s="14"/>
      <c r="J15" s="15"/>
      <c r="K15" s="15"/>
      <c r="L15" s="144"/>
      <c r="M15" s="151"/>
      <c r="N15" s="150"/>
    </row>
    <row r="16" spans="1:12" ht="21.75">
      <c r="A16" s="19">
        <v>14</v>
      </c>
      <c r="B16" s="8" t="s">
        <v>17</v>
      </c>
      <c r="C16" s="18" t="s">
        <v>69</v>
      </c>
      <c r="D16" s="17" t="s">
        <v>64</v>
      </c>
      <c r="E16" s="13">
        <v>45822</v>
      </c>
      <c r="F16" s="13">
        <v>50000</v>
      </c>
      <c r="G16" s="13"/>
      <c r="H16" s="14"/>
      <c r="I16" s="14"/>
      <c r="J16" s="15"/>
      <c r="K16" s="15"/>
      <c r="L16" s="144"/>
    </row>
    <row r="17" spans="1:12" ht="21.75">
      <c r="A17" s="19">
        <v>15</v>
      </c>
      <c r="B17" s="8" t="s">
        <v>18</v>
      </c>
      <c r="C17" s="18" t="s">
        <v>68</v>
      </c>
      <c r="D17" s="17" t="s">
        <v>63</v>
      </c>
      <c r="E17" s="13">
        <v>100</v>
      </c>
      <c r="F17" s="13">
        <v>1000000</v>
      </c>
      <c r="G17" s="13"/>
      <c r="H17" s="14"/>
      <c r="I17" s="14"/>
      <c r="J17" s="15"/>
      <c r="K17" s="15"/>
      <c r="L17" s="144"/>
    </row>
  </sheetData>
  <sheetProtection/>
  <mergeCells count="11">
    <mergeCell ref="I1:I2"/>
    <mergeCell ref="J1:J2"/>
    <mergeCell ref="K1:K2"/>
    <mergeCell ref="B1:B2"/>
    <mergeCell ref="A1:A2"/>
    <mergeCell ref="H1:H2"/>
    <mergeCell ref="C1:C2"/>
    <mergeCell ref="D1:D2"/>
    <mergeCell ref="E1:E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6">
      <selection activeCell="B5" sqref="B5"/>
    </sheetView>
  </sheetViews>
  <sheetFormatPr defaultColWidth="9.140625" defaultRowHeight="21.75"/>
  <cols>
    <col min="1" max="1" width="11.421875" style="0" customWidth="1"/>
    <col min="2" max="2" width="15.28125" style="0" customWidth="1"/>
    <col min="3" max="3" width="15.7109375" style="0" customWidth="1"/>
    <col min="4" max="4" width="22.140625" style="168" bestFit="1" customWidth="1"/>
    <col min="5" max="5" width="22.140625" style="168" customWidth="1"/>
    <col min="10" max="10" width="19.140625" style="0" bestFit="1" customWidth="1"/>
  </cols>
  <sheetData>
    <row r="1" spans="1:5" ht="39.75">
      <c r="A1" s="159" t="s">
        <v>0</v>
      </c>
      <c r="B1" s="159" t="s">
        <v>194</v>
      </c>
      <c r="C1" s="159" t="s">
        <v>154</v>
      </c>
      <c r="D1" s="166" t="s">
        <v>195</v>
      </c>
      <c r="E1" s="169" t="s">
        <v>196</v>
      </c>
    </row>
    <row r="2" spans="1:5" ht="42">
      <c r="A2" s="40">
        <v>1</v>
      </c>
      <c r="B2" s="40"/>
      <c r="C2" s="160">
        <v>65</v>
      </c>
      <c r="D2" s="167" t="str">
        <f>VLOOKUP(C2,$G$3:$K$10,5)</f>
        <v>*****</v>
      </c>
      <c r="E2" s="170" t="str">
        <f>HLOOKUP(C2,$G$12:$N$15,3)</f>
        <v>ค+</v>
      </c>
    </row>
    <row r="3" spans="1:11" ht="42">
      <c r="A3" s="40">
        <v>2</v>
      </c>
      <c r="B3" s="40"/>
      <c r="C3" s="160">
        <v>60</v>
      </c>
      <c r="D3" s="167" t="str">
        <f aca="true" t="shared" si="0" ref="D3:D11">VLOOKUP(C3,$G$3:$K$10,5)</f>
        <v>****</v>
      </c>
      <c r="E3" s="170" t="str">
        <f aca="true" t="shared" si="1" ref="E3:E11">HLOOKUP(C3,$G$12:$N$15,3)</f>
        <v>ค</v>
      </c>
      <c r="G3" s="165">
        <v>0</v>
      </c>
      <c r="H3" s="163" t="s">
        <v>27</v>
      </c>
      <c r="I3" s="163" t="s">
        <v>35</v>
      </c>
      <c r="J3" s="164" t="s">
        <v>92</v>
      </c>
      <c r="K3" s="161" t="s">
        <v>158</v>
      </c>
    </row>
    <row r="4" spans="1:11" ht="42">
      <c r="A4" s="40">
        <v>3</v>
      </c>
      <c r="B4" s="40"/>
      <c r="C4" s="160">
        <v>80</v>
      </c>
      <c r="D4" s="167" t="str">
        <f t="shared" si="0"/>
        <v>********</v>
      </c>
      <c r="E4" s="170" t="str">
        <f t="shared" si="1"/>
        <v>ก</v>
      </c>
      <c r="G4" s="165">
        <v>50</v>
      </c>
      <c r="H4" s="163" t="s">
        <v>26</v>
      </c>
      <c r="I4" s="163" t="s">
        <v>34</v>
      </c>
      <c r="J4" s="164" t="s">
        <v>93</v>
      </c>
      <c r="K4" s="161" t="s">
        <v>159</v>
      </c>
    </row>
    <row r="5" spans="1:11" ht="42">
      <c r="A5" s="40">
        <v>4</v>
      </c>
      <c r="B5" s="40"/>
      <c r="C5" s="160">
        <v>75</v>
      </c>
      <c r="D5" s="167" t="str">
        <f t="shared" si="0"/>
        <v>*******</v>
      </c>
      <c r="E5" s="170" t="str">
        <f t="shared" si="1"/>
        <v>ข+</v>
      </c>
      <c r="G5" s="165">
        <v>55</v>
      </c>
      <c r="H5" s="163" t="s">
        <v>25</v>
      </c>
      <c r="I5" s="163" t="s">
        <v>33</v>
      </c>
      <c r="J5" s="164" t="s">
        <v>94</v>
      </c>
      <c r="K5" s="161" t="s">
        <v>160</v>
      </c>
    </row>
    <row r="6" spans="1:11" ht="42">
      <c r="A6" s="40">
        <v>5</v>
      </c>
      <c r="B6" s="40"/>
      <c r="C6" s="160">
        <v>70</v>
      </c>
      <c r="D6" s="167" t="str">
        <f t="shared" si="0"/>
        <v>******</v>
      </c>
      <c r="E6" s="170" t="str">
        <f t="shared" si="1"/>
        <v>ข</v>
      </c>
      <c r="G6" s="165">
        <v>60</v>
      </c>
      <c r="H6" s="163" t="s">
        <v>24</v>
      </c>
      <c r="I6" s="163" t="s">
        <v>32</v>
      </c>
      <c r="J6" s="164" t="s">
        <v>95</v>
      </c>
      <c r="K6" s="161" t="s">
        <v>161</v>
      </c>
    </row>
    <row r="7" spans="1:11" ht="42">
      <c r="A7" s="40">
        <v>6</v>
      </c>
      <c r="B7" s="40"/>
      <c r="C7" s="160">
        <v>55</v>
      </c>
      <c r="D7" s="167" t="str">
        <f t="shared" si="0"/>
        <v>***</v>
      </c>
      <c r="E7" s="170" t="str">
        <f t="shared" si="1"/>
        <v>ง+</v>
      </c>
      <c r="G7" s="165">
        <v>65</v>
      </c>
      <c r="H7" s="163" t="s">
        <v>23</v>
      </c>
      <c r="I7" s="163" t="s">
        <v>31</v>
      </c>
      <c r="J7" s="164" t="s">
        <v>125</v>
      </c>
      <c r="K7" s="161" t="s">
        <v>162</v>
      </c>
    </row>
    <row r="8" spans="1:11" ht="42">
      <c r="A8" s="40">
        <v>7</v>
      </c>
      <c r="B8" s="40"/>
      <c r="C8" s="160">
        <v>50</v>
      </c>
      <c r="D8" s="167" t="str">
        <f t="shared" si="0"/>
        <v>**</v>
      </c>
      <c r="E8" s="170" t="str">
        <f t="shared" si="1"/>
        <v>ง</v>
      </c>
      <c r="G8" s="165">
        <v>70</v>
      </c>
      <c r="H8" s="163" t="s">
        <v>22</v>
      </c>
      <c r="I8" s="163" t="s">
        <v>30</v>
      </c>
      <c r="J8" s="164" t="s">
        <v>98</v>
      </c>
      <c r="K8" s="161" t="s">
        <v>163</v>
      </c>
    </row>
    <row r="9" spans="1:11" ht="42">
      <c r="A9" s="40">
        <v>8</v>
      </c>
      <c r="B9" s="40"/>
      <c r="C9" s="160">
        <v>30</v>
      </c>
      <c r="D9" s="167" t="str">
        <f t="shared" si="0"/>
        <v>*</v>
      </c>
      <c r="E9" s="170" t="str">
        <f t="shared" si="1"/>
        <v>จ</v>
      </c>
      <c r="G9" s="165">
        <v>75</v>
      </c>
      <c r="H9" s="163" t="s">
        <v>21</v>
      </c>
      <c r="I9" s="163" t="s">
        <v>29</v>
      </c>
      <c r="J9" s="164" t="s">
        <v>97</v>
      </c>
      <c r="K9" s="161" t="s">
        <v>164</v>
      </c>
    </row>
    <row r="10" spans="1:11" ht="42">
      <c r="A10" s="40">
        <v>9</v>
      </c>
      <c r="B10" s="40"/>
      <c r="C10" s="160">
        <v>45</v>
      </c>
      <c r="D10" s="167" t="str">
        <f t="shared" si="0"/>
        <v>*</v>
      </c>
      <c r="E10" s="170" t="str">
        <f t="shared" si="1"/>
        <v>จ</v>
      </c>
      <c r="G10" s="165">
        <v>80</v>
      </c>
      <c r="H10" s="163" t="s">
        <v>20</v>
      </c>
      <c r="I10" s="163" t="s">
        <v>28</v>
      </c>
      <c r="J10" s="164" t="s">
        <v>96</v>
      </c>
      <c r="K10" s="161" t="s">
        <v>165</v>
      </c>
    </row>
    <row r="11" spans="1:5" ht="42">
      <c r="A11" s="40">
        <v>10</v>
      </c>
      <c r="B11" s="40"/>
      <c r="C11" s="160">
        <v>19</v>
      </c>
      <c r="D11" s="167" t="str">
        <f t="shared" si="0"/>
        <v>*</v>
      </c>
      <c r="E11" s="170" t="str">
        <f t="shared" si="1"/>
        <v>จ</v>
      </c>
    </row>
    <row r="12" spans="7:14" ht="72">
      <c r="G12" s="171">
        <v>0</v>
      </c>
      <c r="H12" s="172">
        <v>50</v>
      </c>
      <c r="I12" s="172">
        <v>55</v>
      </c>
      <c r="J12" s="172">
        <v>60</v>
      </c>
      <c r="K12" s="172">
        <v>65</v>
      </c>
      <c r="L12" s="172">
        <v>70</v>
      </c>
      <c r="M12" s="172">
        <v>75</v>
      </c>
      <c r="N12" s="172">
        <v>80</v>
      </c>
    </row>
    <row r="13" spans="7:14" ht="72">
      <c r="G13" s="172" t="s">
        <v>27</v>
      </c>
      <c r="H13" s="172" t="s">
        <v>26</v>
      </c>
      <c r="I13" s="172" t="s">
        <v>25</v>
      </c>
      <c r="J13" s="172" t="s">
        <v>24</v>
      </c>
      <c r="K13" s="172" t="s">
        <v>23</v>
      </c>
      <c r="L13" s="172" t="s">
        <v>22</v>
      </c>
      <c r="M13" s="172" t="s">
        <v>21</v>
      </c>
      <c r="N13" s="172" t="s">
        <v>20</v>
      </c>
    </row>
    <row r="14" spans="7:14" ht="72">
      <c r="G14" s="172" t="s">
        <v>35</v>
      </c>
      <c r="H14" s="172" t="s">
        <v>34</v>
      </c>
      <c r="I14" s="172" t="s">
        <v>33</v>
      </c>
      <c r="J14" s="172" t="s">
        <v>32</v>
      </c>
      <c r="K14" s="172" t="s">
        <v>31</v>
      </c>
      <c r="L14" s="172" t="s">
        <v>30</v>
      </c>
      <c r="M14" s="172" t="s">
        <v>29</v>
      </c>
      <c r="N14" s="172" t="s">
        <v>28</v>
      </c>
    </row>
    <row r="15" spans="7:14" ht="42">
      <c r="G15" s="162" t="s">
        <v>158</v>
      </c>
      <c r="H15" s="162" t="s">
        <v>159</v>
      </c>
      <c r="I15" s="162" t="s">
        <v>160</v>
      </c>
      <c r="J15" s="162" t="s">
        <v>161</v>
      </c>
      <c r="K15" s="162" t="s">
        <v>162</v>
      </c>
      <c r="L15" s="162" t="s">
        <v>162</v>
      </c>
      <c r="M15" s="162" t="s">
        <v>197</v>
      </c>
      <c r="N15" s="162" t="s">
        <v>164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HP</cp:lastModifiedBy>
  <cp:lastPrinted>2004-12-23T05:16:22Z</cp:lastPrinted>
  <dcterms:created xsi:type="dcterms:W3CDTF">1999-10-06T18:05:09Z</dcterms:created>
  <dcterms:modified xsi:type="dcterms:W3CDTF">2014-10-12T04:30:43Z</dcterms:modified>
  <cp:category/>
  <cp:version/>
  <cp:contentType/>
  <cp:contentStatus/>
</cp:coreProperties>
</file>